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nzfenx400\COMUN\DPTO. DE TECNOLOGIAS\Portal VIDEOS CNZFE\documentos enviados para subir al portal\"/>
    </mc:Choice>
  </mc:AlternateContent>
  <xr:revisionPtr revIDLastSave="0" documentId="13_ncr:1_{31878238-4981-4339-9CB0-60D667A63A97}" xr6:coauthVersionLast="47" xr6:coauthVersionMax="47" xr10:uidLastSave="{00000000-0000-0000-0000-000000000000}"/>
  <bookViews>
    <workbookView xWindow="-120" yWindow="-120" windowWidth="29040" windowHeight="15720" xr2:uid="{535FB844-2524-4048-8A71-2E6965306DC6}"/>
  </bookViews>
  <sheets>
    <sheet name="PACC 2022"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'PACC 2022'!$E:$E</definedName>
    <definedName name="TotalEstColumnValue">'PACC 2022'!$F:$F</definedName>
    <definedName name="TotalEstLabel">'[1]Informacion '!$U$3</definedName>
    <definedName name="UnidadesList">'[1]Informacion '!$Q$3:$Q$43</definedName>
    <definedName name="UNSPSCCode">[1]UNSPSC!$A$1:$A$18298</definedName>
    <definedName name="UNSPSCDes">[1]UNSPSC!$B$1:$B$18298</definedName>
  </definedName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17" i="1" l="1"/>
  <c r="I1917" i="1"/>
  <c r="H1917" i="1"/>
  <c r="C1916" i="1"/>
  <c r="C1913" i="1"/>
  <c r="C1911" i="1"/>
  <c r="J1906" i="1"/>
  <c r="I1906" i="1"/>
  <c r="H1906" i="1"/>
  <c r="C1905" i="1"/>
  <c r="C1902" i="1"/>
  <c r="C1900" i="1"/>
  <c r="J1895" i="1"/>
  <c r="I1895" i="1"/>
  <c r="H1895" i="1"/>
  <c r="C1894" i="1"/>
  <c r="C1891" i="1"/>
  <c r="C1889" i="1"/>
  <c r="J1884" i="1"/>
  <c r="I1884" i="1"/>
  <c r="H1884" i="1"/>
  <c r="C1883" i="1"/>
  <c r="C1880" i="1"/>
  <c r="C1878" i="1"/>
  <c r="J1873" i="1"/>
  <c r="I1873" i="1"/>
  <c r="H1873" i="1"/>
  <c r="C1872" i="1"/>
  <c r="C1869" i="1"/>
  <c r="C1867" i="1"/>
  <c r="J1862" i="1"/>
  <c r="I1862" i="1"/>
  <c r="H1862" i="1"/>
  <c r="C1861" i="1"/>
  <c r="C1858" i="1"/>
  <c r="C1856" i="1"/>
  <c r="J1851" i="1"/>
  <c r="I1851" i="1"/>
  <c r="H1851" i="1"/>
  <c r="C1850" i="1"/>
  <c r="C1847" i="1"/>
  <c r="C1845" i="1"/>
  <c r="J1840" i="1"/>
  <c r="I1840" i="1"/>
  <c r="H1840" i="1"/>
  <c r="C1839" i="1"/>
  <c r="C1838" i="1"/>
  <c r="C1835" i="1"/>
  <c r="C1833" i="1"/>
  <c r="J1828" i="1"/>
  <c r="I1828" i="1"/>
  <c r="H1828" i="1"/>
  <c r="C1827" i="1"/>
  <c r="C1826" i="1"/>
  <c r="C1825" i="1"/>
  <c r="C1824" i="1"/>
  <c r="C1823" i="1"/>
  <c r="C1822" i="1"/>
  <c r="C1821" i="1"/>
  <c r="C1820" i="1"/>
  <c r="C1819" i="1"/>
  <c r="C1818" i="1"/>
  <c r="C1817" i="1"/>
  <c r="C1814" i="1"/>
  <c r="C1812" i="1"/>
  <c r="J1807" i="1"/>
  <c r="I1807" i="1"/>
  <c r="H1807" i="1"/>
  <c r="C1806" i="1"/>
  <c r="C1805" i="1"/>
  <c r="C1804" i="1"/>
  <c r="C1803" i="1"/>
  <c r="C1802" i="1"/>
  <c r="C1801" i="1"/>
  <c r="C1800" i="1"/>
  <c r="C1799" i="1"/>
  <c r="C1798" i="1"/>
  <c r="C1797" i="1"/>
  <c r="C1796" i="1"/>
  <c r="C1793" i="1"/>
  <c r="C1791" i="1"/>
  <c r="J1786" i="1"/>
  <c r="I1786" i="1"/>
  <c r="H1786" i="1"/>
  <c r="C1785" i="1"/>
  <c r="C1784" i="1"/>
  <c r="C1783" i="1"/>
  <c r="C1782" i="1"/>
  <c r="C1781" i="1"/>
  <c r="C1780" i="1"/>
  <c r="C1779" i="1"/>
  <c r="C1778" i="1"/>
  <c r="C1777" i="1"/>
  <c r="C1776" i="1"/>
  <c r="C1775" i="1"/>
  <c r="C1772" i="1"/>
  <c r="C1770" i="1"/>
  <c r="J1765" i="1"/>
  <c r="I1765" i="1"/>
  <c r="H1765" i="1"/>
  <c r="C1764" i="1"/>
  <c r="C1763" i="1"/>
  <c r="C1762" i="1"/>
  <c r="C1761" i="1"/>
  <c r="C1760" i="1"/>
  <c r="C1759" i="1"/>
  <c r="C1758" i="1"/>
  <c r="C1757" i="1"/>
  <c r="C1756" i="1"/>
  <c r="C1755" i="1"/>
  <c r="C1754" i="1"/>
  <c r="C1753" i="1"/>
  <c r="C1750" i="1"/>
  <c r="C1748" i="1"/>
  <c r="J1743" i="1"/>
  <c r="I1743" i="1"/>
  <c r="H1743" i="1"/>
  <c r="C1742" i="1"/>
  <c r="C1739" i="1"/>
  <c r="C1737" i="1"/>
  <c r="J1732" i="1"/>
  <c r="I1732" i="1"/>
  <c r="H1732" i="1"/>
  <c r="C1731" i="1"/>
  <c r="C1730" i="1"/>
  <c r="C1727" i="1"/>
  <c r="C1725" i="1"/>
  <c r="J1720" i="1"/>
  <c r="I1720" i="1"/>
  <c r="H1720" i="1"/>
  <c r="C1719" i="1"/>
  <c r="C1718" i="1"/>
  <c r="C1715" i="1"/>
  <c r="C1713" i="1"/>
  <c r="J1708" i="1"/>
  <c r="I1708" i="1"/>
  <c r="H1708" i="1"/>
  <c r="C1707" i="1"/>
  <c r="C1706" i="1"/>
  <c r="C1705" i="1"/>
  <c r="C1702" i="1"/>
  <c r="C1700" i="1"/>
  <c r="J1695" i="1"/>
  <c r="I1695" i="1"/>
  <c r="H1695" i="1"/>
  <c r="C1694" i="1"/>
  <c r="C1693" i="1"/>
  <c r="C1690" i="1"/>
  <c r="C1688" i="1"/>
  <c r="J1683" i="1"/>
  <c r="I1683" i="1"/>
  <c r="H1683" i="1"/>
  <c r="C1682" i="1"/>
  <c r="C1681" i="1"/>
  <c r="C1678" i="1"/>
  <c r="C1676" i="1"/>
  <c r="J1671" i="1"/>
  <c r="I1671" i="1"/>
  <c r="H1671" i="1"/>
  <c r="C1670" i="1"/>
  <c r="C1669" i="1"/>
  <c r="C1668" i="1"/>
  <c r="C1667" i="1"/>
  <c r="C1666" i="1"/>
  <c r="C1663" i="1"/>
  <c r="C1661" i="1"/>
  <c r="J1656" i="1"/>
  <c r="I1656" i="1"/>
  <c r="H1656" i="1"/>
  <c r="C1655" i="1"/>
  <c r="C1652" i="1"/>
  <c r="C1650" i="1"/>
  <c r="J1645" i="1"/>
  <c r="I1645" i="1"/>
  <c r="H1645" i="1"/>
  <c r="C1644" i="1"/>
  <c r="C1641" i="1"/>
  <c r="C1639" i="1"/>
  <c r="J1634" i="1"/>
  <c r="I1634" i="1"/>
  <c r="H1634" i="1"/>
  <c r="C1633" i="1"/>
  <c r="C1630" i="1"/>
  <c r="C1628" i="1"/>
  <c r="J1623" i="1"/>
  <c r="I1623" i="1"/>
  <c r="H1623" i="1"/>
  <c r="C1622" i="1"/>
  <c r="C1619" i="1"/>
  <c r="C1617" i="1"/>
  <c r="J1612" i="1"/>
  <c r="I1612" i="1"/>
  <c r="H1612" i="1"/>
  <c r="C1611" i="1"/>
  <c r="C1608" i="1"/>
  <c r="C1606" i="1"/>
  <c r="J1601" i="1"/>
  <c r="I1601" i="1"/>
  <c r="H1601" i="1"/>
  <c r="C1600" i="1"/>
  <c r="C1599" i="1"/>
  <c r="C1598" i="1"/>
  <c r="C1597" i="1"/>
  <c r="C1596" i="1"/>
  <c r="C1595" i="1"/>
  <c r="C1594" i="1"/>
  <c r="C1591" i="1"/>
  <c r="C1589" i="1"/>
  <c r="J1584" i="1"/>
  <c r="I1584" i="1"/>
  <c r="H1584" i="1"/>
  <c r="C1583" i="1"/>
  <c r="C1582" i="1"/>
  <c r="C1581" i="1"/>
  <c r="C1580" i="1"/>
  <c r="C1579" i="1"/>
  <c r="C1578" i="1"/>
  <c r="C1575" i="1"/>
  <c r="C1573" i="1"/>
  <c r="J1568" i="1"/>
  <c r="I1568" i="1"/>
  <c r="H1568" i="1"/>
  <c r="C1567" i="1"/>
  <c r="C1566" i="1"/>
  <c r="C1565" i="1"/>
  <c r="C1564" i="1"/>
  <c r="C1563" i="1"/>
  <c r="C1562" i="1"/>
  <c r="C1561" i="1"/>
  <c r="C1560" i="1"/>
  <c r="C1557" i="1"/>
  <c r="C1555" i="1"/>
  <c r="J1550" i="1"/>
  <c r="I1550" i="1"/>
  <c r="H1550" i="1"/>
  <c r="C1549" i="1"/>
  <c r="C1548" i="1"/>
  <c r="C1547" i="1"/>
  <c r="C1546" i="1"/>
  <c r="C1545" i="1"/>
  <c r="C1544" i="1"/>
  <c r="C1543" i="1"/>
  <c r="C1542" i="1"/>
  <c r="C1539" i="1"/>
  <c r="C1537" i="1"/>
  <c r="J1532" i="1"/>
  <c r="I1532" i="1"/>
  <c r="H1532" i="1"/>
  <c r="C1531" i="1"/>
  <c r="C1530" i="1"/>
  <c r="C1529" i="1"/>
  <c r="C1528" i="1"/>
  <c r="C1525" i="1"/>
  <c r="C1523" i="1"/>
  <c r="J1518" i="1"/>
  <c r="I1518" i="1"/>
  <c r="H1518" i="1"/>
  <c r="C1517" i="1"/>
  <c r="C1516" i="1"/>
  <c r="C1515" i="1"/>
  <c r="C1514" i="1"/>
  <c r="C1511" i="1"/>
  <c r="C1509" i="1"/>
  <c r="J1504" i="1"/>
  <c r="I1504" i="1"/>
  <c r="H1504" i="1"/>
  <c r="C1503" i="1"/>
  <c r="C1502" i="1"/>
  <c r="C1499" i="1"/>
  <c r="C1497" i="1"/>
  <c r="J1492" i="1"/>
  <c r="I1492" i="1"/>
  <c r="H1492" i="1"/>
  <c r="C1491" i="1"/>
  <c r="C1490" i="1"/>
  <c r="C1487" i="1"/>
  <c r="C1485" i="1"/>
  <c r="J1480" i="1"/>
  <c r="I1480" i="1"/>
  <c r="H1480" i="1"/>
  <c r="C1479" i="1"/>
  <c r="C1476" i="1"/>
  <c r="C1474" i="1"/>
  <c r="J1469" i="1"/>
  <c r="I1469" i="1"/>
  <c r="H1469" i="1"/>
  <c r="C1468" i="1"/>
  <c r="C1467" i="1"/>
  <c r="C1466" i="1"/>
  <c r="C1465" i="1"/>
  <c r="C1464" i="1"/>
  <c r="C1461" i="1"/>
  <c r="C1459" i="1"/>
  <c r="J1454" i="1"/>
  <c r="I1454" i="1"/>
  <c r="H1454" i="1"/>
  <c r="C1453" i="1"/>
  <c r="C1452" i="1"/>
  <c r="C1451" i="1"/>
  <c r="C1450" i="1"/>
  <c r="C1449" i="1"/>
  <c r="C1446" i="1"/>
  <c r="C1444" i="1"/>
  <c r="J1439" i="1"/>
  <c r="I1439" i="1"/>
  <c r="H1439" i="1"/>
  <c r="C1438" i="1"/>
  <c r="C1437" i="1"/>
  <c r="C1436" i="1"/>
  <c r="C1435" i="1"/>
  <c r="C1434" i="1"/>
  <c r="C1431" i="1"/>
  <c r="C1429" i="1"/>
  <c r="J1424" i="1"/>
  <c r="I1424" i="1"/>
  <c r="H1424" i="1"/>
  <c r="C1423" i="1"/>
  <c r="C1422" i="1"/>
  <c r="C1421" i="1"/>
  <c r="C1420" i="1"/>
  <c r="C1419" i="1"/>
  <c r="C1416" i="1"/>
  <c r="C1414" i="1"/>
  <c r="J1409" i="1"/>
  <c r="I1409" i="1"/>
  <c r="H1409" i="1"/>
  <c r="C1408" i="1"/>
  <c r="C1407" i="1"/>
  <c r="C1406" i="1"/>
  <c r="C1403" i="1"/>
  <c r="C1401" i="1"/>
  <c r="J1396" i="1"/>
  <c r="I1396" i="1"/>
  <c r="H1396" i="1"/>
  <c r="C1395" i="1"/>
  <c r="C1392" i="1"/>
  <c r="C1390" i="1"/>
  <c r="J1385" i="1"/>
  <c r="I1385" i="1"/>
  <c r="H1385" i="1"/>
  <c r="C1384" i="1"/>
  <c r="C1383" i="1"/>
  <c r="C1380" i="1"/>
  <c r="C1378" i="1"/>
  <c r="J1373" i="1"/>
  <c r="I1373" i="1"/>
  <c r="H1373" i="1"/>
  <c r="C1372" i="1"/>
  <c r="C1369" i="1"/>
  <c r="C1367" i="1"/>
  <c r="J1362" i="1"/>
  <c r="I1362" i="1"/>
  <c r="H1362" i="1"/>
  <c r="C1361" i="1"/>
  <c r="C1358" i="1"/>
  <c r="C1356" i="1"/>
  <c r="J1351" i="1"/>
  <c r="I1351" i="1"/>
  <c r="H1351" i="1"/>
  <c r="C1350" i="1"/>
  <c r="C1347" i="1"/>
  <c r="C1345" i="1"/>
  <c r="J1340" i="1"/>
  <c r="I1340" i="1"/>
  <c r="H1340" i="1"/>
  <c r="C1339" i="1"/>
  <c r="C1336" i="1"/>
  <c r="C1334" i="1"/>
  <c r="J1329" i="1"/>
  <c r="I1329" i="1"/>
  <c r="H1329" i="1"/>
  <c r="C1328" i="1"/>
  <c r="C1325" i="1"/>
  <c r="C1323" i="1"/>
  <c r="J1318" i="1"/>
  <c r="I1318" i="1"/>
  <c r="H1318" i="1"/>
  <c r="C1317" i="1"/>
  <c r="C1316" i="1"/>
  <c r="C1313" i="1"/>
  <c r="C1311" i="1"/>
  <c r="J1306" i="1"/>
  <c r="I1306" i="1"/>
  <c r="H1306" i="1"/>
  <c r="C1305" i="1"/>
  <c r="C1302" i="1"/>
  <c r="C1300" i="1"/>
  <c r="J1295" i="1"/>
  <c r="I1295" i="1"/>
  <c r="H1295" i="1"/>
  <c r="C1294" i="1"/>
  <c r="C1293" i="1"/>
  <c r="C1292" i="1"/>
  <c r="C1291" i="1"/>
  <c r="C1290" i="1"/>
  <c r="C1289" i="1"/>
  <c r="C1288" i="1"/>
  <c r="C1287" i="1"/>
  <c r="C1284" i="1"/>
  <c r="C1282" i="1"/>
  <c r="J1277" i="1"/>
  <c r="I1277" i="1"/>
  <c r="H1277" i="1"/>
  <c r="C1276" i="1"/>
  <c r="C1275" i="1"/>
  <c r="C1274" i="1"/>
  <c r="C1273" i="1"/>
  <c r="C1272" i="1"/>
  <c r="C1271" i="1"/>
  <c r="C1270" i="1"/>
  <c r="C1269" i="1"/>
  <c r="C1268" i="1"/>
  <c r="C1267" i="1"/>
  <c r="C1266" i="1"/>
  <c r="C1263" i="1"/>
  <c r="C1261" i="1"/>
  <c r="J1256" i="1"/>
  <c r="I1256" i="1"/>
  <c r="H1256" i="1"/>
  <c r="C1255" i="1"/>
  <c r="C1254" i="1"/>
  <c r="C1253" i="1"/>
  <c r="C1252" i="1"/>
  <c r="C1251" i="1"/>
  <c r="C1250" i="1"/>
  <c r="C1249" i="1"/>
  <c r="C1248" i="1"/>
  <c r="C1247" i="1"/>
  <c r="C1246" i="1"/>
  <c r="C1245" i="1"/>
  <c r="C1242" i="1"/>
  <c r="C1240" i="1"/>
  <c r="J1235" i="1"/>
  <c r="I1235" i="1"/>
  <c r="H1235" i="1"/>
  <c r="C1234" i="1"/>
  <c r="C1233" i="1"/>
  <c r="C1232" i="1"/>
  <c r="C1231" i="1"/>
  <c r="C1230" i="1"/>
  <c r="C1229" i="1"/>
  <c r="C1228" i="1"/>
  <c r="C1227" i="1"/>
  <c r="C1226" i="1"/>
  <c r="C1225" i="1"/>
  <c r="C1224" i="1"/>
  <c r="C1221" i="1"/>
  <c r="C1219" i="1"/>
  <c r="J1214" i="1"/>
  <c r="I1214" i="1"/>
  <c r="H1214" i="1"/>
  <c r="C1213" i="1"/>
  <c r="C1212" i="1"/>
  <c r="C1211" i="1"/>
  <c r="C1210" i="1"/>
  <c r="C1209" i="1"/>
  <c r="C1208" i="1"/>
  <c r="C1207" i="1"/>
  <c r="C1206" i="1"/>
  <c r="C1205" i="1"/>
  <c r="C1204" i="1"/>
  <c r="C1203" i="1"/>
  <c r="C1200" i="1"/>
  <c r="C1198" i="1"/>
  <c r="J1193" i="1"/>
  <c r="I1193" i="1"/>
  <c r="H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2" i="1"/>
  <c r="C1160" i="1"/>
  <c r="J1155" i="1"/>
  <c r="I1155" i="1"/>
  <c r="H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4" i="1"/>
  <c r="C1122" i="1"/>
  <c r="J1117" i="1"/>
  <c r="I1117" i="1"/>
  <c r="H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6" i="1"/>
  <c r="C1084" i="1"/>
  <c r="J1079" i="1"/>
  <c r="I1079" i="1"/>
  <c r="H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48" i="1"/>
  <c r="C1046" i="1"/>
  <c r="J1041" i="1"/>
  <c r="I1041" i="1"/>
  <c r="H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1" i="1"/>
  <c r="C969" i="1"/>
  <c r="J964" i="1"/>
  <c r="I964" i="1"/>
  <c r="H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3" i="1"/>
  <c r="C891" i="1"/>
  <c r="J886" i="1"/>
  <c r="I886" i="1"/>
  <c r="H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18" i="1"/>
  <c r="C816" i="1"/>
  <c r="J811" i="1"/>
  <c r="I811" i="1"/>
  <c r="H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7" i="1"/>
  <c r="C735" i="1"/>
  <c r="J730" i="1"/>
  <c r="I730" i="1"/>
  <c r="H730" i="1"/>
  <c r="C729" i="1"/>
  <c r="C728" i="1"/>
  <c r="C725" i="1"/>
  <c r="C723" i="1"/>
  <c r="J718" i="1"/>
  <c r="I718" i="1"/>
  <c r="H718" i="1"/>
  <c r="C717" i="1"/>
  <c r="C716" i="1"/>
  <c r="C715" i="1"/>
  <c r="C714" i="1"/>
  <c r="C713" i="1"/>
  <c r="C712" i="1"/>
  <c r="C711" i="1"/>
  <c r="C710" i="1"/>
  <c r="C707" i="1"/>
  <c r="C705" i="1"/>
  <c r="J700" i="1"/>
  <c r="I700" i="1"/>
  <c r="H700" i="1"/>
  <c r="C699" i="1"/>
  <c r="C698" i="1"/>
  <c r="C697" i="1"/>
  <c r="C696" i="1"/>
  <c r="C695" i="1"/>
  <c r="C694" i="1"/>
  <c r="C693" i="1"/>
  <c r="C692" i="1"/>
  <c r="C689" i="1"/>
  <c r="C687" i="1"/>
  <c r="J682" i="1"/>
  <c r="I682" i="1"/>
  <c r="H682" i="1"/>
  <c r="C681" i="1"/>
  <c r="C680" i="1"/>
  <c r="C679" i="1"/>
  <c r="C678" i="1"/>
  <c r="C677" i="1"/>
  <c r="C674" i="1"/>
  <c r="C672" i="1"/>
  <c r="J667" i="1"/>
  <c r="I667" i="1"/>
  <c r="H667" i="1"/>
  <c r="C666" i="1"/>
  <c r="C665" i="1"/>
  <c r="C664" i="1"/>
  <c r="C663" i="1"/>
  <c r="C662" i="1"/>
  <c r="C661" i="1"/>
  <c r="C660" i="1"/>
  <c r="C659" i="1"/>
  <c r="C658" i="1"/>
  <c r="C657" i="1"/>
  <c r="C654" i="1"/>
  <c r="C652" i="1"/>
  <c r="J647" i="1"/>
  <c r="I647" i="1"/>
  <c r="H647" i="1"/>
  <c r="C646" i="1"/>
  <c r="C645" i="1"/>
  <c r="C644" i="1"/>
  <c r="C643" i="1"/>
  <c r="C642" i="1"/>
  <c r="C641" i="1"/>
  <c r="C640" i="1"/>
  <c r="C639" i="1"/>
  <c r="C638" i="1"/>
  <c r="C635" i="1"/>
  <c r="C633" i="1"/>
  <c r="J628" i="1"/>
  <c r="I628" i="1"/>
  <c r="H628" i="1"/>
  <c r="C627" i="1"/>
  <c r="C626" i="1"/>
  <c r="C625" i="1"/>
  <c r="C624" i="1"/>
  <c r="C623" i="1"/>
  <c r="C622" i="1"/>
  <c r="C621" i="1"/>
  <c r="C620" i="1"/>
  <c r="C619" i="1"/>
  <c r="C618" i="1"/>
  <c r="C617" i="1"/>
  <c r="C616" i="1"/>
  <c r="C615" i="1"/>
  <c r="C614" i="1"/>
  <c r="C613" i="1"/>
  <c r="C612" i="1"/>
  <c r="C611" i="1"/>
  <c r="C610" i="1"/>
  <c r="C609" i="1"/>
  <c r="C608" i="1"/>
  <c r="C607" i="1"/>
  <c r="C604" i="1"/>
  <c r="C602" i="1"/>
  <c r="J597" i="1"/>
  <c r="I597" i="1"/>
  <c r="H597" i="1"/>
  <c r="C596" i="1"/>
  <c r="C593" i="1"/>
  <c r="C591" i="1"/>
  <c r="J586" i="1"/>
  <c r="I586" i="1"/>
  <c r="H586" i="1"/>
  <c r="C585" i="1"/>
  <c r="C584" i="1"/>
  <c r="C581" i="1"/>
  <c r="C579" i="1"/>
  <c r="J574" i="1"/>
  <c r="I574" i="1"/>
  <c r="H574" i="1"/>
  <c r="C573" i="1"/>
  <c r="C572" i="1"/>
  <c r="C569" i="1"/>
  <c r="C567" i="1"/>
  <c r="J562" i="1"/>
  <c r="I562" i="1"/>
  <c r="H562" i="1"/>
  <c r="C561" i="1"/>
  <c r="C560" i="1"/>
  <c r="C559" i="1"/>
  <c r="C556" i="1"/>
  <c r="C554" i="1"/>
  <c r="J549" i="1"/>
  <c r="I549" i="1"/>
  <c r="H549" i="1"/>
  <c r="C548" i="1"/>
  <c r="C547" i="1"/>
  <c r="C546" i="1"/>
  <c r="C545" i="1"/>
  <c r="C544" i="1"/>
  <c r="C543" i="1"/>
  <c r="C540" i="1"/>
  <c r="C538" i="1"/>
  <c r="J533" i="1"/>
  <c r="I533" i="1"/>
  <c r="H533" i="1"/>
  <c r="C532" i="1"/>
  <c r="C529" i="1"/>
  <c r="C527" i="1"/>
  <c r="J522" i="1"/>
  <c r="I522" i="1"/>
  <c r="H522" i="1"/>
  <c r="C521" i="1"/>
  <c r="C520" i="1"/>
  <c r="C519" i="1"/>
  <c r="C516" i="1"/>
  <c r="C514" i="1"/>
  <c r="J509" i="1"/>
  <c r="I509" i="1"/>
  <c r="H509" i="1"/>
  <c r="C508" i="1"/>
  <c r="C507" i="1"/>
  <c r="C506" i="1"/>
  <c r="C505" i="1"/>
  <c r="C502" i="1"/>
  <c r="C500" i="1"/>
  <c r="J495" i="1"/>
  <c r="I495" i="1"/>
  <c r="H495" i="1"/>
  <c r="C494" i="1"/>
  <c r="C491" i="1"/>
  <c r="C489" i="1"/>
  <c r="J484" i="1"/>
  <c r="I484" i="1"/>
  <c r="H484" i="1"/>
  <c r="C483" i="1"/>
  <c r="C482" i="1"/>
  <c r="C479" i="1"/>
  <c r="C477" i="1"/>
  <c r="J472" i="1"/>
  <c r="I472" i="1"/>
  <c r="H472" i="1"/>
  <c r="C471" i="1"/>
  <c r="C468" i="1"/>
  <c r="C466" i="1"/>
  <c r="J461" i="1"/>
  <c r="I461" i="1"/>
  <c r="H461" i="1"/>
  <c r="C460" i="1"/>
  <c r="C459" i="1"/>
  <c r="C458" i="1"/>
  <c r="C455" i="1"/>
  <c r="C453" i="1"/>
  <c r="J448" i="1"/>
  <c r="I448" i="1"/>
  <c r="H448" i="1"/>
  <c r="C447" i="1"/>
  <c r="C446" i="1"/>
  <c r="C445" i="1"/>
  <c r="C444" i="1"/>
  <c r="C443" i="1"/>
  <c r="C442" i="1"/>
  <c r="C441" i="1"/>
  <c r="C440" i="1"/>
  <c r="C439" i="1"/>
  <c r="C436" i="1"/>
  <c r="C434" i="1"/>
  <c r="J429" i="1"/>
  <c r="I429" i="1"/>
  <c r="H429" i="1"/>
  <c r="C428" i="1"/>
  <c r="C427" i="1"/>
  <c r="C426" i="1"/>
  <c r="C425" i="1"/>
  <c r="C424" i="1"/>
  <c r="C423" i="1"/>
  <c r="C422" i="1"/>
  <c r="C421" i="1"/>
  <c r="C420" i="1"/>
  <c r="C417" i="1"/>
  <c r="C415" i="1"/>
  <c r="J410" i="1"/>
  <c r="I410" i="1"/>
  <c r="H410" i="1"/>
  <c r="C409" i="1"/>
  <c r="C408" i="1"/>
  <c r="C407" i="1"/>
  <c r="C406" i="1"/>
  <c r="C405" i="1"/>
  <c r="C404" i="1"/>
  <c r="C403" i="1"/>
  <c r="C402" i="1"/>
  <c r="C401" i="1"/>
  <c r="C398" i="1"/>
  <c r="C396" i="1"/>
  <c r="J391" i="1"/>
  <c r="I391" i="1"/>
  <c r="H391" i="1"/>
  <c r="C390" i="1"/>
  <c r="C389" i="1"/>
  <c r="C388" i="1"/>
  <c r="C387" i="1"/>
  <c r="C386" i="1"/>
  <c r="C385" i="1"/>
  <c r="C384" i="1"/>
  <c r="C383" i="1"/>
  <c r="C382" i="1"/>
  <c r="C379" i="1"/>
  <c r="C377" i="1"/>
  <c r="J372" i="1"/>
  <c r="I372" i="1"/>
  <c r="H372" i="1"/>
  <c r="C371" i="1"/>
  <c r="C368" i="1"/>
  <c r="C366" i="1"/>
  <c r="J361" i="1"/>
  <c r="I361" i="1"/>
  <c r="H361" i="1"/>
  <c r="C360" i="1"/>
  <c r="C357" i="1"/>
  <c r="C355" i="1"/>
  <c r="J350" i="1"/>
  <c r="I350" i="1"/>
  <c r="H350" i="1"/>
  <c r="C349" i="1"/>
  <c r="C346" i="1"/>
  <c r="C344" i="1"/>
  <c r="J339" i="1"/>
  <c r="I339" i="1"/>
  <c r="H339" i="1"/>
  <c r="C338" i="1"/>
  <c r="C335" i="1"/>
  <c r="C333" i="1"/>
  <c r="J328" i="1"/>
  <c r="I328" i="1"/>
  <c r="H328" i="1"/>
  <c r="C327" i="1"/>
  <c r="C324" i="1"/>
  <c r="C322" i="1"/>
  <c r="J317" i="1"/>
  <c r="I317" i="1"/>
  <c r="H317" i="1"/>
  <c r="C316" i="1"/>
  <c r="C315" i="1"/>
  <c r="C312" i="1"/>
  <c r="C310" i="1"/>
  <c r="J305" i="1"/>
  <c r="I305" i="1"/>
  <c r="H305" i="1"/>
  <c r="C304" i="1"/>
  <c r="C303" i="1"/>
  <c r="C302" i="1"/>
  <c r="C299" i="1"/>
  <c r="C297" i="1"/>
  <c r="J292" i="1"/>
  <c r="I292" i="1"/>
  <c r="H292" i="1"/>
  <c r="C291" i="1"/>
  <c r="C290" i="1"/>
  <c r="C289" i="1"/>
  <c r="C288" i="1"/>
  <c r="C287" i="1"/>
  <c r="C286" i="1"/>
  <c r="C285" i="1"/>
  <c r="C284" i="1"/>
  <c r="C283" i="1"/>
  <c r="C282" i="1"/>
  <c r="C281" i="1"/>
  <c r="C280" i="1"/>
  <c r="C279" i="1"/>
  <c r="C276" i="1"/>
  <c r="C274" i="1"/>
  <c r="J269" i="1"/>
  <c r="I269" i="1"/>
  <c r="H269" i="1"/>
  <c r="C268" i="1"/>
  <c r="C267" i="1"/>
  <c r="C266" i="1"/>
  <c r="C265" i="1"/>
  <c r="C264" i="1"/>
  <c r="C263" i="1"/>
  <c r="C262" i="1"/>
  <c r="C261" i="1"/>
  <c r="C260" i="1"/>
  <c r="C259" i="1"/>
  <c r="C256" i="1"/>
  <c r="C254" i="1"/>
  <c r="J249" i="1"/>
  <c r="I249" i="1"/>
  <c r="H249" i="1"/>
  <c r="C248" i="1"/>
  <c r="C247" i="1"/>
  <c r="C246" i="1"/>
  <c r="C245" i="1"/>
  <c r="C244" i="1"/>
  <c r="C243" i="1"/>
  <c r="C242" i="1"/>
  <c r="C241" i="1"/>
  <c r="C240" i="1"/>
  <c r="C239" i="1"/>
  <c r="C238" i="1"/>
  <c r="C235" i="1"/>
  <c r="C233" i="1"/>
  <c r="J228" i="1"/>
  <c r="I228" i="1"/>
  <c r="H228" i="1"/>
  <c r="C227" i="1"/>
  <c r="C224" i="1"/>
  <c r="C222" i="1"/>
  <c r="J217" i="1"/>
  <c r="I217" i="1"/>
  <c r="H217" i="1"/>
  <c r="C216" i="1"/>
  <c r="C213" i="1"/>
  <c r="C211" i="1"/>
  <c r="J206" i="1"/>
  <c r="I206" i="1"/>
  <c r="H206" i="1"/>
  <c r="C205" i="1"/>
  <c r="C202" i="1"/>
  <c r="C200" i="1"/>
  <c r="J195" i="1"/>
  <c r="I195" i="1"/>
  <c r="H195" i="1"/>
  <c r="C194" i="1"/>
  <c r="C191" i="1"/>
  <c r="C189" i="1"/>
  <c r="J184" i="1"/>
  <c r="I184" i="1"/>
  <c r="H184" i="1"/>
  <c r="C183" i="1"/>
  <c r="C180" i="1"/>
  <c r="C178" i="1"/>
  <c r="J173" i="1"/>
  <c r="I173" i="1"/>
  <c r="H173" i="1"/>
  <c r="C172" i="1"/>
  <c r="C171" i="1"/>
  <c r="C168" i="1"/>
  <c r="C166" i="1"/>
  <c r="J161" i="1"/>
  <c r="I161" i="1"/>
  <c r="H161" i="1"/>
  <c r="C160" i="1"/>
  <c r="C159" i="1"/>
  <c r="C156" i="1"/>
  <c r="C154" i="1"/>
  <c r="J149" i="1"/>
  <c r="I149" i="1"/>
  <c r="H149" i="1"/>
  <c r="C148" i="1"/>
  <c r="C147" i="1"/>
  <c r="C144" i="1"/>
  <c r="C142" i="1"/>
  <c r="J137" i="1"/>
  <c r="I137" i="1"/>
  <c r="H137" i="1"/>
  <c r="C136" i="1"/>
  <c r="C135" i="1"/>
  <c r="C132" i="1"/>
  <c r="C130" i="1"/>
  <c r="J125" i="1"/>
  <c r="I125" i="1"/>
  <c r="H125" i="1"/>
  <c r="C124" i="1"/>
  <c r="C121" i="1"/>
  <c r="C119" i="1"/>
  <c r="J114" i="1"/>
  <c r="I114" i="1"/>
  <c r="H114" i="1"/>
  <c r="C113" i="1"/>
  <c r="C110" i="1"/>
  <c r="C108" i="1"/>
  <c r="J103" i="1"/>
  <c r="I103" i="1"/>
  <c r="H103" i="1"/>
  <c r="C102" i="1"/>
  <c r="C99" i="1"/>
  <c r="C97" i="1"/>
  <c r="J92" i="1"/>
  <c r="I92" i="1"/>
  <c r="H92" i="1"/>
  <c r="C91" i="1"/>
  <c r="C90" i="1"/>
  <c r="C89" i="1"/>
  <c r="C88" i="1"/>
  <c r="C87" i="1"/>
  <c r="C86" i="1"/>
  <c r="C85" i="1"/>
  <c r="C84" i="1"/>
  <c r="C83" i="1"/>
  <c r="C80" i="1"/>
  <c r="C78" i="1"/>
  <c r="J73" i="1"/>
  <c r="I73" i="1"/>
  <c r="H73" i="1"/>
  <c r="C72" i="1"/>
  <c r="C71" i="1"/>
  <c r="C68" i="1"/>
  <c r="C66" i="1"/>
  <c r="J61" i="1"/>
  <c r="I61" i="1"/>
  <c r="H61" i="1"/>
  <c r="C60" i="1"/>
  <c r="C59" i="1"/>
  <c r="C56" i="1"/>
  <c r="C54" i="1"/>
  <c r="J49" i="1"/>
  <c r="I49" i="1"/>
  <c r="H49" i="1"/>
  <c r="C48" i="1"/>
  <c r="C47" i="1"/>
  <c r="C44" i="1"/>
  <c r="C42" i="1"/>
  <c r="J37" i="1"/>
  <c r="I37" i="1"/>
  <c r="H37" i="1"/>
  <c r="C36" i="1"/>
  <c r="C35" i="1"/>
  <c r="C32" i="1"/>
  <c r="C30" i="1"/>
  <c r="J25" i="1"/>
  <c r="I25" i="1"/>
  <c r="H25" i="1"/>
  <c r="C24" i="1"/>
  <c r="C23" i="1"/>
  <c r="C20" i="1"/>
  <c r="C18" i="1"/>
  <c r="B3" i="1"/>
  <c r="B1894" i="1"/>
  <c r="F1872" i="1"/>
  <c r="B1838" i="1"/>
  <c r="F1824" i="1"/>
  <c r="B1822" i="1"/>
  <c r="B1806" i="1"/>
  <c r="F1800" i="1"/>
  <c r="B1798" i="1"/>
  <c r="F1784" i="1"/>
  <c r="B1782" i="1"/>
  <c r="F1776" i="1"/>
  <c r="F1760" i="1"/>
  <c r="B1758" i="1"/>
  <c r="B1742" i="1"/>
  <c r="B1718" i="1"/>
  <c r="B1694" i="1"/>
  <c r="B1670" i="1"/>
  <c r="B1622" i="1"/>
  <c r="F1600" i="1"/>
  <c r="B1598" i="1"/>
  <c r="B1582" i="1"/>
  <c r="B1566" i="1"/>
  <c r="F1560" i="1"/>
  <c r="F1544" i="1"/>
  <c r="B1542" i="1"/>
  <c r="F1528" i="1"/>
  <c r="B1502" i="1"/>
  <c r="F1464" i="1"/>
  <c r="B1438" i="1"/>
  <c r="B1422" i="1"/>
  <c r="F1408" i="1"/>
  <c r="B1406" i="1"/>
  <c r="F1384" i="1"/>
  <c r="B1350" i="1"/>
  <c r="F1328" i="1"/>
  <c r="B1294" i="1"/>
  <c r="F1288" i="1"/>
  <c r="F1272" i="1"/>
  <c r="B1270" i="1"/>
  <c r="B1254" i="1"/>
  <c r="F1248" i="1"/>
  <c r="B1246" i="1"/>
  <c r="F1232" i="1"/>
  <c r="B1230" i="1"/>
  <c r="F1224" i="1"/>
  <c r="F1208" i="1"/>
  <c r="B1206" i="1"/>
  <c r="F1192" i="1"/>
  <c r="B1190" i="1"/>
  <c r="F1184" i="1"/>
  <c r="B1182" i="1"/>
  <c r="F1176" i="1"/>
  <c r="B1174" i="1"/>
  <c r="F1168" i="1"/>
  <c r="B1166" i="1"/>
  <c r="F1152" i="1"/>
  <c r="B1150" i="1"/>
  <c r="F1144" i="1"/>
  <c r="B1142" i="1"/>
  <c r="F1136" i="1"/>
  <c r="B1134" i="1"/>
  <c r="F1128" i="1"/>
  <c r="F1112" i="1"/>
  <c r="B1110" i="1"/>
  <c r="F1104" i="1"/>
  <c r="B1102" i="1"/>
  <c r="F1096" i="1"/>
  <c r="B1094" i="1"/>
  <c r="B1078" i="1"/>
  <c r="F1072" i="1"/>
  <c r="B1070" i="1"/>
  <c r="F1064" i="1"/>
  <c r="B1062" i="1"/>
  <c r="F1056" i="1"/>
  <c r="B1054" i="1"/>
  <c r="F1040" i="1"/>
  <c r="B1038" i="1"/>
  <c r="F1032" i="1"/>
  <c r="B1030" i="1"/>
  <c r="F1024" i="1"/>
  <c r="B1022" i="1"/>
  <c r="F1016" i="1"/>
  <c r="B1014" i="1"/>
  <c r="F1008" i="1"/>
  <c r="B1006" i="1"/>
  <c r="F1000" i="1"/>
  <c r="B998" i="1"/>
  <c r="F992" i="1"/>
  <c r="B990" i="1"/>
  <c r="B1883" i="1"/>
  <c r="F1861" i="1"/>
  <c r="B1827" i="1"/>
  <c r="F1821" i="1"/>
  <c r="B1819" i="1"/>
  <c r="F1805" i="1"/>
  <c r="B1803" i="1"/>
  <c r="F1797" i="1"/>
  <c r="F1781" i="1"/>
  <c r="B1779" i="1"/>
  <c r="B1763" i="1"/>
  <c r="F1757" i="1"/>
  <c r="B1755" i="1"/>
  <c r="B1731" i="1"/>
  <c r="B1707" i="1"/>
  <c r="F1693" i="1"/>
  <c r="F1669" i="1"/>
  <c r="B1667" i="1"/>
  <c r="B1611" i="1"/>
  <c r="F1597" i="1"/>
  <c r="B1595" i="1"/>
  <c r="F1581" i="1"/>
  <c r="B1579" i="1"/>
  <c r="F1565" i="1"/>
  <c r="B1563" i="1"/>
  <c r="F1549" i="1"/>
  <c r="B1547" i="1"/>
  <c r="B1531" i="1"/>
  <c r="F1517" i="1"/>
  <c r="B1515" i="1"/>
  <c r="B1491" i="1"/>
  <c r="B1467" i="1"/>
  <c r="F1453" i="1"/>
  <c r="B1451" i="1"/>
  <c r="F1437" i="1"/>
  <c r="B1435" i="1"/>
  <c r="F1421" i="1"/>
  <c r="B1419" i="1"/>
  <c r="B1395" i="1"/>
  <c r="B1339" i="1"/>
  <c r="F1317" i="1"/>
  <c r="F1293" i="1"/>
  <c r="B1291" i="1"/>
  <c r="B1275" i="1"/>
  <c r="F1269" i="1"/>
  <c r="B1267" i="1"/>
  <c r="F1253" i="1"/>
  <c r="B1251" i="1"/>
  <c r="F1245" i="1"/>
  <c r="F1229" i="1"/>
  <c r="B1227" i="1"/>
  <c r="F1213" i="1"/>
  <c r="B1211" i="1"/>
  <c r="F1205" i="1"/>
  <c r="B1203" i="1"/>
  <c r="F1189" i="1"/>
  <c r="B1187" i="1"/>
  <c r="F1181" i="1"/>
  <c r="B1179" i="1"/>
  <c r="F1173" i="1"/>
  <c r="B1171" i="1"/>
  <c r="F1165" i="1"/>
  <c r="F1149" i="1"/>
  <c r="B1147" i="1"/>
  <c r="F1141" i="1"/>
  <c r="B1139" i="1"/>
  <c r="F1133" i="1"/>
  <c r="B1131" i="1"/>
  <c r="B1115" i="1"/>
  <c r="F1109" i="1"/>
  <c r="B1107" i="1"/>
  <c r="F1101" i="1"/>
  <c r="B1099" i="1"/>
  <c r="F1093" i="1"/>
  <c r="B1091" i="1"/>
  <c r="F1077" i="1"/>
  <c r="B1075" i="1"/>
  <c r="F1069" i="1"/>
  <c r="B1067" i="1"/>
  <c r="F1061" i="1"/>
  <c r="B1059" i="1"/>
  <c r="F1053" i="1"/>
  <c r="B1051" i="1"/>
  <c r="F1037" i="1"/>
  <c r="B1035" i="1"/>
  <c r="F1029" i="1"/>
  <c r="B1027" i="1"/>
  <c r="F1021" i="1"/>
  <c r="B1019" i="1"/>
  <c r="F1013" i="1"/>
  <c r="B1011" i="1"/>
  <c r="F1005" i="1"/>
  <c r="B1003" i="1"/>
  <c r="F997" i="1"/>
  <c r="B995" i="1"/>
  <c r="F989" i="1"/>
  <c r="B987" i="1"/>
  <c r="F981" i="1"/>
  <c r="B979" i="1"/>
  <c r="B963" i="1"/>
  <c r="F957" i="1"/>
  <c r="B955" i="1"/>
  <c r="F949" i="1"/>
  <c r="B947" i="1"/>
  <c r="F941" i="1"/>
  <c r="B939" i="1"/>
  <c r="F933" i="1"/>
  <c r="B931" i="1"/>
  <c r="F925" i="1"/>
  <c r="B923" i="1"/>
  <c r="F917" i="1"/>
  <c r="B915" i="1"/>
  <c r="F909" i="1"/>
  <c r="B907" i="1"/>
  <c r="F901" i="1"/>
  <c r="B899" i="1"/>
  <c r="F885" i="1"/>
  <c r="B883" i="1"/>
  <c r="B1872" i="1"/>
  <c r="F1850" i="1"/>
  <c r="F1826" i="1"/>
  <c r="B1824" i="1"/>
  <c r="F1818" i="1"/>
  <c r="F1802" i="1"/>
  <c r="B1800" i="1"/>
  <c r="B1784" i="1"/>
  <c r="F1778" i="1"/>
  <c r="B1776" i="1"/>
  <c r="F1762" i="1"/>
  <c r="B1760" i="1"/>
  <c r="F1754" i="1"/>
  <c r="F1730" i="1"/>
  <c r="F1706" i="1"/>
  <c r="F1682" i="1"/>
  <c r="F1666" i="1"/>
  <c r="B1600" i="1"/>
  <c r="F1594" i="1"/>
  <c r="F1578" i="1"/>
  <c r="F1562" i="1"/>
  <c r="B1560" i="1"/>
  <c r="F1546" i="1"/>
  <c r="B1544" i="1"/>
  <c r="F1530" i="1"/>
  <c r="B1528" i="1"/>
  <c r="F1514" i="1"/>
  <c r="F1490" i="1"/>
  <c r="F1466" i="1"/>
  <c r="B1464" i="1"/>
  <c r="F1450" i="1"/>
  <c r="F1434" i="1"/>
  <c r="B1408" i="1"/>
  <c r="B1384" i="1"/>
  <c r="B1328" i="1"/>
  <c r="F1290" i="1"/>
  <c r="B1288" i="1"/>
  <c r="F1274" i="1"/>
  <c r="B1272" i="1"/>
  <c r="F1266" i="1"/>
  <c r="F1250" i="1"/>
  <c r="B1248" i="1"/>
  <c r="F1234" i="1"/>
  <c r="B1232" i="1"/>
  <c r="F1226" i="1"/>
  <c r="B1224" i="1"/>
  <c r="F1210" i="1"/>
  <c r="B1208" i="1"/>
  <c r="B1192" i="1"/>
  <c r="F1186" i="1"/>
  <c r="B1184" i="1"/>
  <c r="F1178" i="1"/>
  <c r="B1176" i="1"/>
  <c r="F1170" i="1"/>
  <c r="B1168" i="1"/>
  <c r="F1154" i="1"/>
  <c r="B1152" i="1"/>
  <c r="F1146" i="1"/>
  <c r="B1144" i="1"/>
  <c r="F1138" i="1"/>
  <c r="B1136" i="1"/>
  <c r="F1130" i="1"/>
  <c r="B1128" i="1"/>
  <c r="F1114" i="1"/>
  <c r="B1112" i="1"/>
  <c r="F1106" i="1"/>
  <c r="B1104" i="1"/>
  <c r="F1098" i="1"/>
  <c r="B1096" i="1"/>
  <c r="F1090" i="1"/>
  <c r="F1074" i="1"/>
  <c r="B1072" i="1"/>
  <c r="F1066" i="1"/>
  <c r="B1064" i="1"/>
  <c r="F1058" i="1"/>
  <c r="B1056" i="1"/>
  <c r="B1040" i="1"/>
  <c r="F1034" i="1"/>
  <c r="B1032" i="1"/>
  <c r="F1026" i="1"/>
  <c r="B1024" i="1"/>
  <c r="F1018" i="1"/>
  <c r="B1016" i="1"/>
  <c r="F1010" i="1"/>
  <c r="B1008" i="1"/>
  <c r="F1002" i="1"/>
  <c r="B1000" i="1"/>
  <c r="F994" i="1"/>
  <c r="B992" i="1"/>
  <c r="F986" i="1"/>
  <c r="B984" i="1"/>
  <c r="F978" i="1"/>
  <c r="B976" i="1"/>
  <c r="F962" i="1"/>
  <c r="B960" i="1"/>
  <c r="F954" i="1"/>
  <c r="B952" i="1"/>
  <c r="F946" i="1"/>
  <c r="B944" i="1"/>
  <c r="F938" i="1"/>
  <c r="B936" i="1"/>
  <c r="F930" i="1"/>
  <c r="B1861" i="1"/>
  <c r="F1839" i="1"/>
  <c r="F1823" i="1"/>
  <c r="B1821" i="1"/>
  <c r="B1805" i="1"/>
  <c r="F1799" i="1"/>
  <c r="B1797" i="1"/>
  <c r="F1783" i="1"/>
  <c r="B1781" i="1"/>
  <c r="F1775" i="1"/>
  <c r="F1759" i="1"/>
  <c r="B1757" i="1"/>
  <c r="F1719" i="1"/>
  <c r="B1693" i="1"/>
  <c r="B1669" i="1"/>
  <c r="F1655" i="1"/>
  <c r="F1599" i="1"/>
  <c r="B1597" i="1"/>
  <c r="F1583" i="1"/>
  <c r="B1581" i="1"/>
  <c r="F1567" i="1"/>
  <c r="B1565" i="1"/>
  <c r="B1549" i="1"/>
  <c r="F1543" i="1"/>
  <c r="B1517" i="1"/>
  <c r="F1503" i="1"/>
  <c r="F1479" i="1"/>
  <c r="B1453" i="1"/>
  <c r="B1437" i="1"/>
  <c r="F1423" i="1"/>
  <c r="B1421" i="1"/>
  <c r="F1407" i="1"/>
  <c r="F1383" i="1"/>
  <c r="B1317" i="1"/>
  <c r="B1293" i="1"/>
  <c r="F1287" i="1"/>
  <c r="F1271" i="1"/>
  <c r="B1269" i="1"/>
  <c r="F1255" i="1"/>
  <c r="B1253" i="1"/>
  <c r="F1247" i="1"/>
  <c r="B1245" i="1"/>
  <c r="F1231" i="1"/>
  <c r="B1229" i="1"/>
  <c r="B1213" i="1"/>
  <c r="F1207" i="1"/>
  <c r="B1205" i="1"/>
  <c r="F1191" i="1"/>
  <c r="B1189" i="1"/>
  <c r="F1183" i="1"/>
  <c r="B1181" i="1"/>
  <c r="F1175" i="1"/>
  <c r="B1173" i="1"/>
  <c r="F1167" i="1"/>
  <c r="B1165" i="1"/>
  <c r="F1151" i="1"/>
  <c r="B1149" i="1"/>
  <c r="F1143" i="1"/>
  <c r="B1141" i="1"/>
  <c r="F1135" i="1"/>
  <c r="B1133" i="1"/>
  <c r="F1127" i="1"/>
  <c r="F1111" i="1"/>
  <c r="B1109" i="1"/>
  <c r="F1103" i="1"/>
  <c r="B1101" i="1"/>
  <c r="F1095" i="1"/>
  <c r="B1093" i="1"/>
  <c r="B1077" i="1"/>
  <c r="F1071" i="1"/>
  <c r="B1069" i="1"/>
  <c r="F1063" i="1"/>
  <c r="B1061" i="1"/>
  <c r="F1055" i="1"/>
  <c r="B1053" i="1"/>
  <c r="F1039" i="1"/>
  <c r="B1037" i="1"/>
  <c r="F1031" i="1"/>
  <c r="B1029" i="1"/>
  <c r="F1023" i="1"/>
  <c r="B1021" i="1"/>
  <c r="F1015" i="1"/>
  <c r="B1013" i="1"/>
  <c r="F1007" i="1"/>
  <c r="B1005" i="1"/>
  <c r="F999" i="1"/>
  <c r="B997" i="1"/>
  <c r="F991" i="1"/>
  <c r="B989" i="1"/>
  <c r="F983" i="1"/>
  <c r="B981" i="1"/>
  <c r="F975" i="1"/>
  <c r="F959" i="1"/>
  <c r="B957" i="1"/>
  <c r="F951" i="1"/>
  <c r="B949" i="1"/>
  <c r="F943" i="1"/>
  <c r="B941" i="1"/>
  <c r="F935" i="1"/>
  <c r="B933" i="1"/>
  <c r="F927" i="1"/>
  <c r="B925" i="1"/>
  <c r="F919" i="1"/>
  <c r="B917" i="1"/>
  <c r="F911" i="1"/>
  <c r="B909" i="1"/>
  <c r="F1916" i="1"/>
  <c r="B1850" i="1"/>
  <c r="B1826" i="1"/>
  <c r="F1820" i="1"/>
  <c r="B1818" i="1"/>
  <c r="F1804" i="1"/>
  <c r="B1802" i="1"/>
  <c r="F1796" i="1"/>
  <c r="F1780" i="1"/>
  <c r="B1778" i="1"/>
  <c r="F1764" i="1"/>
  <c r="B1762" i="1"/>
  <c r="F1756" i="1"/>
  <c r="B1754" i="1"/>
  <c r="B1730" i="1"/>
  <c r="B1706" i="1"/>
  <c r="B1682" i="1"/>
  <c r="F1668" i="1"/>
  <c r="B1666" i="1"/>
  <c r="F1644" i="1"/>
  <c r="F1596" i="1"/>
  <c r="B1594" i="1"/>
  <c r="F1580" i="1"/>
  <c r="B1578" i="1"/>
  <c r="F1564" i="1"/>
  <c r="B1562" i="1"/>
  <c r="F1548" i="1"/>
  <c r="B1546" i="1"/>
  <c r="B1530" i="1"/>
  <c r="F1516" i="1"/>
  <c r="B1514" i="1"/>
  <c r="B1490" i="1"/>
  <c r="F1468" i="1"/>
  <c r="B1466" i="1"/>
  <c r="F1452" i="1"/>
  <c r="B1450" i="1"/>
  <c r="F1436" i="1"/>
  <c r="B1434" i="1"/>
  <c r="F1420" i="1"/>
  <c r="F1372" i="1"/>
  <c r="F1316" i="1"/>
  <c r="F1292" i="1"/>
  <c r="B1290" i="1"/>
  <c r="F1276" i="1"/>
  <c r="B1274" i="1"/>
  <c r="F1268" i="1"/>
  <c r="B1266" i="1"/>
  <c r="F1252" i="1"/>
  <c r="B1250" i="1"/>
  <c r="B1234" i="1"/>
  <c r="F1228" i="1"/>
  <c r="B1226" i="1"/>
  <c r="F1212" i="1"/>
  <c r="B1210" i="1"/>
  <c r="F1204" i="1"/>
  <c r="F1188" i="1"/>
  <c r="B1186" i="1"/>
  <c r="F1180" i="1"/>
  <c r="B1178" i="1"/>
  <c r="F1172" i="1"/>
  <c r="B1170" i="1"/>
  <c r="B1154" i="1"/>
  <c r="F1148" i="1"/>
  <c r="B1146" i="1"/>
  <c r="F1140" i="1"/>
  <c r="B1138" i="1"/>
  <c r="F1132" i="1"/>
  <c r="B1130" i="1"/>
  <c r="F1116" i="1"/>
  <c r="B1114" i="1"/>
  <c r="F1108" i="1"/>
  <c r="B1106" i="1"/>
  <c r="F1100" i="1"/>
  <c r="B1098" i="1"/>
  <c r="F1092" i="1"/>
  <c r="B1090" i="1"/>
  <c r="F1076" i="1"/>
  <c r="B1074" i="1"/>
  <c r="F1068" i="1"/>
  <c r="B1066" i="1"/>
  <c r="F1060" i="1"/>
  <c r="B1058" i="1"/>
  <c r="F1052" i="1"/>
  <c r="F1036" i="1"/>
  <c r="B1034" i="1"/>
  <c r="F1028" i="1"/>
  <c r="B1026" i="1"/>
  <c r="F1020" i="1"/>
  <c r="B1018" i="1"/>
  <c r="F1012" i="1"/>
  <c r="B1010" i="1"/>
  <c r="F1004" i="1"/>
  <c r="B1002" i="1"/>
  <c r="F996" i="1"/>
  <c r="B994" i="1"/>
  <c r="F988" i="1"/>
  <c r="B986" i="1"/>
  <c r="F980" i="1"/>
  <c r="B978" i="1"/>
  <c r="B962" i="1"/>
  <c r="F1905" i="1"/>
  <c r="B1839" i="1"/>
  <c r="F1825" i="1"/>
  <c r="B1823" i="1"/>
  <c r="F1817" i="1"/>
  <c r="F1801" i="1"/>
  <c r="B1799" i="1"/>
  <c r="F1785" i="1"/>
  <c r="B1783" i="1"/>
  <c r="F1777" i="1"/>
  <c r="B1775" i="1"/>
  <c r="F1761" i="1"/>
  <c r="B1759" i="1"/>
  <c r="F1753" i="1"/>
  <c r="B1719" i="1"/>
  <c r="F1705" i="1"/>
  <c r="F1681" i="1"/>
  <c r="B1655" i="1"/>
  <c r="F1633" i="1"/>
  <c r="B1599" i="1"/>
  <c r="B1583" i="1"/>
  <c r="B1567" i="1"/>
  <c r="F1561" i="1"/>
  <c r="F1545" i="1"/>
  <c r="B1543" i="1"/>
  <c r="F1529" i="1"/>
  <c r="B1503" i="1"/>
  <c r="B1479" i="1"/>
  <c r="F1465" i="1"/>
  <c r="F1449" i="1"/>
  <c r="B1423" i="1"/>
  <c r="B1407" i="1"/>
  <c r="B1383" i="1"/>
  <c r="F1361" i="1"/>
  <c r="F1305" i="1"/>
  <c r="F1289" i="1"/>
  <c r="B1287" i="1"/>
  <c r="F1273" i="1"/>
  <c r="B1271" i="1"/>
  <c r="B1255" i="1"/>
  <c r="F1249" i="1"/>
  <c r="B1247" i="1"/>
  <c r="F1233" i="1"/>
  <c r="B1231" i="1"/>
  <c r="F1225" i="1"/>
  <c r="F1209" i="1"/>
  <c r="B1207" i="1"/>
  <c r="B1191" i="1"/>
  <c r="F1185" i="1"/>
  <c r="B1183" i="1"/>
  <c r="F1177" i="1"/>
  <c r="B1175" i="1"/>
  <c r="F1169" i="1"/>
  <c r="B1167" i="1"/>
  <c r="F1153" i="1"/>
  <c r="B1151" i="1"/>
  <c r="F1145" i="1"/>
  <c r="B1143" i="1"/>
  <c r="F1137" i="1"/>
  <c r="B1135" i="1"/>
  <c r="F1129" i="1"/>
  <c r="B1127" i="1"/>
  <c r="F1113" i="1"/>
  <c r="B1111" i="1"/>
  <c r="F1105" i="1"/>
  <c r="B1103" i="1"/>
  <c r="F1097" i="1"/>
  <c r="B1095" i="1"/>
  <c r="F1089" i="1"/>
  <c r="F1073" i="1"/>
  <c r="B1071" i="1"/>
  <c r="F1065" i="1"/>
  <c r="B1063" i="1"/>
  <c r="F1057" i="1"/>
  <c r="B1055" i="1"/>
  <c r="B1039" i="1"/>
  <c r="F1033" i="1"/>
  <c r="B1031" i="1"/>
  <c r="F1025" i="1"/>
  <c r="B1023" i="1"/>
  <c r="F1017" i="1"/>
  <c r="B1015" i="1"/>
  <c r="F1009" i="1"/>
  <c r="B1007" i="1"/>
  <c r="F1001" i="1"/>
  <c r="B999" i="1"/>
  <c r="F993" i="1"/>
  <c r="B991" i="1"/>
  <c r="F985" i="1"/>
  <c r="B983" i="1"/>
  <c r="F977" i="1"/>
  <c r="B975" i="1"/>
  <c r="F961" i="1"/>
  <c r="B959" i="1"/>
  <c r="F953" i="1"/>
  <c r="B951" i="1"/>
  <c r="F945" i="1"/>
  <c r="B943" i="1"/>
  <c r="F937" i="1"/>
  <c r="B935" i="1"/>
  <c r="F929" i="1"/>
  <c r="B927" i="1"/>
  <c r="F921" i="1"/>
  <c r="B919" i="1"/>
  <c r="F913" i="1"/>
  <c r="B911" i="1"/>
  <c r="F905" i="1"/>
  <c r="B903" i="1"/>
  <c r="F897" i="1"/>
  <c r="F881" i="1"/>
  <c r="B879" i="1"/>
  <c r="F873" i="1"/>
  <c r="B1916" i="1"/>
  <c r="F1894" i="1"/>
  <c r="F1838" i="1"/>
  <c r="F1822" i="1"/>
  <c r="B1820" i="1"/>
  <c r="F1806" i="1"/>
  <c r="B1804" i="1"/>
  <c r="F1798" i="1"/>
  <c r="B1796" i="1"/>
  <c r="F1782" i="1"/>
  <c r="B1780" i="1"/>
  <c r="B1764" i="1"/>
  <c r="F1758" i="1"/>
  <c r="B1756" i="1"/>
  <c r="F1742" i="1"/>
  <c r="F1718" i="1"/>
  <c r="F1694" i="1"/>
  <c r="F1670" i="1"/>
  <c r="B1668" i="1"/>
  <c r="B1644" i="1"/>
  <c r="F1622" i="1"/>
  <c r="F1598" i="1"/>
  <c r="B1596" i="1"/>
  <c r="F1582" i="1"/>
  <c r="B1580" i="1"/>
  <c r="F1566" i="1"/>
  <c r="B1564" i="1"/>
  <c r="B1548" i="1"/>
  <c r="F1542" i="1"/>
  <c r="B1516" i="1"/>
  <c r="F1502" i="1"/>
  <c r="B1468" i="1"/>
  <c r="B1452" i="1"/>
  <c r="F1438" i="1"/>
  <c r="B1436" i="1"/>
  <c r="F1422" i="1"/>
  <c r="B1420" i="1"/>
  <c r="F1406" i="1"/>
  <c r="B1372" i="1"/>
  <c r="F1350" i="1"/>
  <c r="B1316" i="1"/>
  <c r="F1294" i="1"/>
  <c r="B1292" i="1"/>
  <c r="B1276" i="1"/>
  <c r="F1270" i="1"/>
  <c r="B1268" i="1"/>
  <c r="F1254" i="1"/>
  <c r="B1252" i="1"/>
  <c r="F1246" i="1"/>
  <c r="F1230" i="1"/>
  <c r="B1228" i="1"/>
  <c r="B1212" i="1"/>
  <c r="F1206" i="1"/>
  <c r="B1204" i="1"/>
  <c r="F1190" i="1"/>
  <c r="B1188" i="1"/>
  <c r="F1182" i="1"/>
  <c r="B1180" i="1"/>
  <c r="F1174" i="1"/>
  <c r="B1172" i="1"/>
  <c r="F1166" i="1"/>
  <c r="F1150" i="1"/>
  <c r="B1148" i="1"/>
  <c r="F1142" i="1"/>
  <c r="B1140" i="1"/>
  <c r="F1134" i="1"/>
  <c r="B1132" i="1"/>
  <c r="B1116" i="1"/>
  <c r="F1110" i="1"/>
  <c r="B1108" i="1"/>
  <c r="F1102" i="1"/>
  <c r="B1100" i="1"/>
  <c r="F1094" i="1"/>
  <c r="B1092" i="1"/>
  <c r="F1078" i="1"/>
  <c r="B1076" i="1"/>
  <c r="F1070" i="1"/>
  <c r="B1068" i="1"/>
  <c r="F1062" i="1"/>
  <c r="B1060" i="1"/>
  <c r="F1054" i="1"/>
  <c r="B1052" i="1"/>
  <c r="F1038" i="1"/>
  <c r="B1036" i="1"/>
  <c r="F1030" i="1"/>
  <c r="B1028" i="1"/>
  <c r="F1022" i="1"/>
  <c r="B1020" i="1"/>
  <c r="F1014" i="1"/>
  <c r="B1012" i="1"/>
  <c r="F1006" i="1"/>
  <c r="B1004" i="1"/>
  <c r="F998" i="1"/>
  <c r="B996" i="1"/>
  <c r="F990" i="1"/>
  <c r="B988" i="1"/>
  <c r="F982" i="1"/>
  <c r="B980" i="1"/>
  <c r="F974" i="1"/>
  <c r="F958" i="1"/>
  <c r="B956" i="1"/>
  <c r="F950" i="1"/>
  <c r="B948" i="1"/>
  <c r="B1777" i="1"/>
  <c r="F1579" i="1"/>
  <c r="B1561" i="1"/>
  <c r="F1291" i="1"/>
  <c r="F1203" i="1"/>
  <c r="F1115" i="1"/>
  <c r="B1097" i="1"/>
  <c r="F1027" i="1"/>
  <c r="B1009" i="1"/>
  <c r="F995" i="1"/>
  <c r="F956" i="1"/>
  <c r="F952" i="1"/>
  <c r="F947" i="1"/>
  <c r="F939" i="1"/>
  <c r="F931" i="1"/>
  <c r="B928" i="1"/>
  <c r="B924" i="1"/>
  <c r="F920" i="1"/>
  <c r="F916" i="1"/>
  <c r="B910" i="1"/>
  <c r="B900" i="1"/>
  <c r="F896" i="1"/>
  <c r="F882" i="1"/>
  <c r="F879" i="1"/>
  <c r="F876" i="1"/>
  <c r="B874" i="1"/>
  <c r="B871" i="1"/>
  <c r="F865" i="1"/>
  <c r="B863" i="1"/>
  <c r="F857" i="1"/>
  <c r="B855" i="1"/>
  <c r="F849" i="1"/>
  <c r="B847" i="1"/>
  <c r="F841" i="1"/>
  <c r="B839" i="1"/>
  <c r="F833" i="1"/>
  <c r="B831" i="1"/>
  <c r="F825" i="1"/>
  <c r="B823" i="1"/>
  <c r="F809" i="1"/>
  <c r="B807" i="1"/>
  <c r="F801" i="1"/>
  <c r="B799" i="1"/>
  <c r="F793" i="1"/>
  <c r="B791" i="1"/>
  <c r="F785" i="1"/>
  <c r="B783" i="1"/>
  <c r="F777" i="1"/>
  <c r="B775" i="1"/>
  <c r="F769" i="1"/>
  <c r="B767" i="1"/>
  <c r="F761" i="1"/>
  <c r="B759" i="1"/>
  <c r="F753" i="1"/>
  <c r="B751" i="1"/>
  <c r="F745" i="1"/>
  <c r="B743" i="1"/>
  <c r="F729" i="1"/>
  <c r="F713" i="1"/>
  <c r="B711" i="1"/>
  <c r="F697" i="1"/>
  <c r="B695" i="1"/>
  <c r="F681" i="1"/>
  <c r="B679" i="1"/>
  <c r="F665" i="1"/>
  <c r="B663" i="1"/>
  <c r="F657" i="1"/>
  <c r="F641" i="1"/>
  <c r="B639" i="1"/>
  <c r="F625" i="1"/>
  <c r="B623" i="1"/>
  <c r="F617" i="1"/>
  <c r="B615" i="1"/>
  <c r="F609" i="1"/>
  <c r="B607" i="1"/>
  <c r="F585" i="1"/>
  <c r="F561" i="1"/>
  <c r="B559" i="1"/>
  <c r="F545" i="1"/>
  <c r="B543" i="1"/>
  <c r="F521" i="1"/>
  <c r="B519" i="1"/>
  <c r="F505" i="1"/>
  <c r="B471" i="1"/>
  <c r="B447" i="1"/>
  <c r="F441" i="1"/>
  <c r="B439" i="1"/>
  <c r="F425" i="1"/>
  <c r="B423" i="1"/>
  <c r="F409" i="1"/>
  <c r="B407" i="1"/>
  <c r="F401" i="1"/>
  <c r="F385" i="1"/>
  <c r="B383" i="1"/>
  <c r="B327" i="1"/>
  <c r="B303" i="1"/>
  <c r="F289" i="1"/>
  <c r="B287" i="1"/>
  <c r="F281" i="1"/>
  <c r="B279" i="1"/>
  <c r="F265" i="1"/>
  <c r="B263" i="1"/>
  <c r="B247" i="1"/>
  <c r="F241" i="1"/>
  <c r="B239" i="1"/>
  <c r="B183" i="1"/>
  <c r="B159" i="1"/>
  <c r="B135" i="1"/>
  <c r="F113" i="1"/>
  <c r="F89" i="1"/>
  <c r="B87" i="1"/>
  <c r="B71" i="1"/>
  <c r="B47" i="1"/>
  <c r="B23" i="1"/>
  <c r="F1819" i="1"/>
  <c r="F1763" i="1"/>
  <c r="F1547" i="1"/>
  <c r="F1467" i="1"/>
  <c r="F1339" i="1"/>
  <c r="B1273" i="1"/>
  <c r="F1227" i="1"/>
  <c r="B1185" i="1"/>
  <c r="F1171" i="1"/>
  <c r="B1153" i="1"/>
  <c r="F1139" i="1"/>
  <c r="B1065" i="1"/>
  <c r="F1051" i="1"/>
  <c r="B961" i="1"/>
  <c r="F942" i="1"/>
  <c r="F934" i="1"/>
  <c r="F923" i="1"/>
  <c r="B913" i="1"/>
  <c r="B906" i="1"/>
  <c r="F902" i="1"/>
  <c r="F899" i="1"/>
  <c r="F870" i="1"/>
  <c r="B868" i="1"/>
  <c r="F862" i="1"/>
  <c r="B860" i="1"/>
  <c r="F854" i="1"/>
  <c r="B852" i="1"/>
  <c r="F846" i="1"/>
  <c r="B844" i="1"/>
  <c r="F838" i="1"/>
  <c r="B836" i="1"/>
  <c r="F830" i="1"/>
  <c r="B828" i="1"/>
  <c r="F822" i="1"/>
  <c r="F806" i="1"/>
  <c r="B804" i="1"/>
  <c r="F798" i="1"/>
  <c r="B796" i="1"/>
  <c r="F790" i="1"/>
  <c r="B788" i="1"/>
  <c r="F782" i="1"/>
  <c r="B780" i="1"/>
  <c r="F774" i="1"/>
  <c r="B772" i="1"/>
  <c r="F766" i="1"/>
  <c r="B764" i="1"/>
  <c r="F758" i="1"/>
  <c r="B756" i="1"/>
  <c r="F750" i="1"/>
  <c r="B748" i="1"/>
  <c r="F742" i="1"/>
  <c r="B740" i="1"/>
  <c r="B716" i="1"/>
  <c r="F710" i="1"/>
  <c r="F694" i="1"/>
  <c r="B692" i="1"/>
  <c r="F678" i="1"/>
  <c r="F662" i="1"/>
  <c r="B660" i="1"/>
  <c r="F646" i="1"/>
  <c r="B644" i="1"/>
  <c r="F638" i="1"/>
  <c r="F622" i="1"/>
  <c r="B620" i="1"/>
  <c r="F614" i="1"/>
  <c r="B612" i="1"/>
  <c r="B596" i="1"/>
  <c r="B572" i="1"/>
  <c r="B548" i="1"/>
  <c r="B532" i="1"/>
  <c r="B508" i="1"/>
  <c r="F494" i="1"/>
  <c r="B460" i="1"/>
  <c r="F446" i="1"/>
  <c r="B444" i="1"/>
  <c r="B428" i="1"/>
  <c r="F422" i="1"/>
  <c r="B420" i="1"/>
  <c r="F406" i="1"/>
  <c r="B404" i="1"/>
  <c r="F390" i="1"/>
  <c r="B388" i="1"/>
  <c r="F382" i="1"/>
  <c r="B316" i="1"/>
  <c r="F302" i="1"/>
  <c r="F286" i="1"/>
  <c r="B284" i="1"/>
  <c r="B268" i="1"/>
  <c r="F262" i="1"/>
  <c r="B260" i="1"/>
  <c r="F246" i="1"/>
  <c r="B244" i="1"/>
  <c r="F238" i="1"/>
  <c r="B172" i="1"/>
  <c r="B148" i="1"/>
  <c r="B124" i="1"/>
  <c r="F102" i="1"/>
  <c r="F86" i="1"/>
  <c r="B84" i="1"/>
  <c r="B60" i="1"/>
  <c r="B36" i="1"/>
  <c r="B302" i="1"/>
  <c r="B262" i="1"/>
  <c r="B246" i="1"/>
  <c r="B1905" i="1"/>
  <c r="B1801" i="1"/>
  <c r="F1707" i="1"/>
  <c r="B1529" i="1"/>
  <c r="F1491" i="1"/>
  <c r="B1449" i="1"/>
  <c r="B1209" i="1"/>
  <c r="F1107" i="1"/>
  <c r="B1089" i="1"/>
  <c r="B1033" i="1"/>
  <c r="F1019" i="1"/>
  <c r="B1001" i="1"/>
  <c r="F987" i="1"/>
  <c r="B977" i="1"/>
  <c r="F960" i="1"/>
  <c r="F955" i="1"/>
  <c r="F926" i="1"/>
  <c r="B920" i="1"/>
  <c r="B916" i="1"/>
  <c r="F912" i="1"/>
  <c r="F908" i="1"/>
  <c r="B896" i="1"/>
  <c r="B885" i="1"/>
  <c r="B882" i="1"/>
  <c r="F878" i="1"/>
  <c r="B876" i="1"/>
  <c r="B873" i="1"/>
  <c r="F867" i="1"/>
  <c r="B865" i="1"/>
  <c r="F859" i="1"/>
  <c r="B857" i="1"/>
  <c r="F851" i="1"/>
  <c r="B849" i="1"/>
  <c r="F843" i="1"/>
  <c r="B841" i="1"/>
  <c r="F835" i="1"/>
  <c r="B833" i="1"/>
  <c r="F827" i="1"/>
  <c r="B825" i="1"/>
  <c r="B809" i="1"/>
  <c r="F803" i="1"/>
  <c r="B801" i="1"/>
  <c r="F795" i="1"/>
  <c r="B793" i="1"/>
  <c r="F787" i="1"/>
  <c r="B785" i="1"/>
  <c r="F779" i="1"/>
  <c r="B777" i="1"/>
  <c r="F771" i="1"/>
  <c r="B769" i="1"/>
  <c r="F763" i="1"/>
  <c r="B761" i="1"/>
  <c r="F755" i="1"/>
  <c r="B753" i="1"/>
  <c r="F747" i="1"/>
  <c r="B745" i="1"/>
  <c r="B729" i="1"/>
  <c r="F715" i="1"/>
  <c r="B713" i="1"/>
  <c r="F699" i="1"/>
  <c r="B697" i="1"/>
  <c r="B681" i="1"/>
  <c r="B665" i="1"/>
  <c r="F659" i="1"/>
  <c r="B657" i="1"/>
  <c r="F643" i="1"/>
  <c r="B641" i="1"/>
  <c r="F627" i="1"/>
  <c r="B625" i="1"/>
  <c r="F619" i="1"/>
  <c r="B617" i="1"/>
  <c r="F611" i="1"/>
  <c r="B609" i="1"/>
  <c r="B585" i="1"/>
  <c r="B561" i="1"/>
  <c r="F547" i="1"/>
  <c r="B545" i="1"/>
  <c r="B521" i="1"/>
  <c r="F507" i="1"/>
  <c r="B505" i="1"/>
  <c r="F483" i="1"/>
  <c r="F459" i="1"/>
  <c r="F443" i="1"/>
  <c r="B441" i="1"/>
  <c r="F427" i="1"/>
  <c r="B425" i="1"/>
  <c r="B409" i="1"/>
  <c r="F403" i="1"/>
  <c r="B401" i="1"/>
  <c r="F387" i="1"/>
  <c r="B385" i="1"/>
  <c r="F371" i="1"/>
  <c r="F315" i="1"/>
  <c r="F291" i="1"/>
  <c r="B289" i="1"/>
  <c r="F283" i="1"/>
  <c r="B281" i="1"/>
  <c r="F267" i="1"/>
  <c r="B265" i="1"/>
  <c r="F259" i="1"/>
  <c r="F243" i="1"/>
  <c r="B241" i="1"/>
  <c r="F227" i="1"/>
  <c r="F171" i="1"/>
  <c r="F147" i="1"/>
  <c r="B113" i="1"/>
  <c r="F91" i="1"/>
  <c r="B89" i="1"/>
  <c r="F83" i="1"/>
  <c r="F59" i="1"/>
  <c r="F35" i="1"/>
  <c r="F304" i="1"/>
  <c r="F280" i="1"/>
  <c r="F240" i="1"/>
  <c r="B1825" i="1"/>
  <c r="F1755" i="1"/>
  <c r="F1731" i="1"/>
  <c r="B1633" i="1"/>
  <c r="F1515" i="1"/>
  <c r="F1435" i="1"/>
  <c r="F1251" i="1"/>
  <c r="B1233" i="1"/>
  <c r="B1177" i="1"/>
  <c r="B1145" i="1"/>
  <c r="F1131" i="1"/>
  <c r="F1075" i="1"/>
  <c r="B1057" i="1"/>
  <c r="B982" i="1"/>
  <c r="F976" i="1"/>
  <c r="B946" i="1"/>
  <c r="B942" i="1"/>
  <c r="B938" i="1"/>
  <c r="B934" i="1"/>
  <c r="B930" i="1"/>
  <c r="F922" i="1"/>
  <c r="F915" i="1"/>
  <c r="B905" i="1"/>
  <c r="B902" i="1"/>
  <c r="F898" i="1"/>
  <c r="F884" i="1"/>
  <c r="F875" i="1"/>
  <c r="F872" i="1"/>
  <c r="B870" i="1"/>
  <c r="F864" i="1"/>
  <c r="B862" i="1"/>
  <c r="F856" i="1"/>
  <c r="B854" i="1"/>
  <c r="F848" i="1"/>
  <c r="B846" i="1"/>
  <c r="F840" i="1"/>
  <c r="B838" i="1"/>
  <c r="F832" i="1"/>
  <c r="B830" i="1"/>
  <c r="F824" i="1"/>
  <c r="B822" i="1"/>
  <c r="F808" i="1"/>
  <c r="B806" i="1"/>
  <c r="F800" i="1"/>
  <c r="B798" i="1"/>
  <c r="F792" i="1"/>
  <c r="B790" i="1"/>
  <c r="F784" i="1"/>
  <c r="B782" i="1"/>
  <c r="F776" i="1"/>
  <c r="B774" i="1"/>
  <c r="F768" i="1"/>
  <c r="B766" i="1"/>
  <c r="F760" i="1"/>
  <c r="B758" i="1"/>
  <c r="F752" i="1"/>
  <c r="B750" i="1"/>
  <c r="F744" i="1"/>
  <c r="B742" i="1"/>
  <c r="F728" i="1"/>
  <c r="F712" i="1"/>
  <c r="B710" i="1"/>
  <c r="F696" i="1"/>
  <c r="B694" i="1"/>
  <c r="F680" i="1"/>
  <c r="B678" i="1"/>
  <c r="F664" i="1"/>
  <c r="B662" i="1"/>
  <c r="B646" i="1"/>
  <c r="F640" i="1"/>
  <c r="B638" i="1"/>
  <c r="F624" i="1"/>
  <c r="B622" i="1"/>
  <c r="F616" i="1"/>
  <c r="B614" i="1"/>
  <c r="F608" i="1"/>
  <c r="F584" i="1"/>
  <c r="F560" i="1"/>
  <c r="F544" i="1"/>
  <c r="F520" i="1"/>
  <c r="B494" i="1"/>
  <c r="B446" i="1"/>
  <c r="F440" i="1"/>
  <c r="F424" i="1"/>
  <c r="B422" i="1"/>
  <c r="F408" i="1"/>
  <c r="B406" i="1"/>
  <c r="B390" i="1"/>
  <c r="F384" i="1"/>
  <c r="B382" i="1"/>
  <c r="F360" i="1"/>
  <c r="F288" i="1"/>
  <c r="B286" i="1"/>
  <c r="F264" i="1"/>
  <c r="F248" i="1"/>
  <c r="B238" i="1"/>
  <c r="F1779" i="1"/>
  <c r="F1595" i="1"/>
  <c r="F1563" i="1"/>
  <c r="B1289" i="1"/>
  <c r="B1113" i="1"/>
  <c r="F1099" i="1"/>
  <c r="B1025" i="1"/>
  <c r="F1011" i="1"/>
  <c r="B993" i="1"/>
  <c r="B950" i="1"/>
  <c r="B926" i="1"/>
  <c r="F918" i="1"/>
  <c r="B912" i="1"/>
  <c r="B908" i="1"/>
  <c r="F904" i="1"/>
  <c r="B881" i="1"/>
  <c r="B878" i="1"/>
  <c r="F869" i="1"/>
  <c r="B867" i="1"/>
  <c r="F861" i="1"/>
  <c r="B859" i="1"/>
  <c r="F853" i="1"/>
  <c r="B851" i="1"/>
  <c r="F845" i="1"/>
  <c r="B843" i="1"/>
  <c r="F837" i="1"/>
  <c r="B835" i="1"/>
  <c r="F829" i="1"/>
  <c r="B827" i="1"/>
  <c r="F821" i="1"/>
  <c r="F805" i="1"/>
  <c r="B803" i="1"/>
  <c r="F797" i="1"/>
  <c r="B795" i="1"/>
  <c r="F789" i="1"/>
  <c r="B787" i="1"/>
  <c r="F781" i="1"/>
  <c r="B779" i="1"/>
  <c r="F773" i="1"/>
  <c r="B771" i="1"/>
  <c r="F765" i="1"/>
  <c r="B763" i="1"/>
  <c r="F757" i="1"/>
  <c r="B755" i="1"/>
  <c r="F749" i="1"/>
  <c r="B747" i="1"/>
  <c r="F741" i="1"/>
  <c r="F717" i="1"/>
  <c r="B715" i="1"/>
  <c r="B699" i="1"/>
  <c r="F693" i="1"/>
  <c r="F677" i="1"/>
  <c r="F661" i="1"/>
  <c r="B659" i="1"/>
  <c r="F645" i="1"/>
  <c r="B643" i="1"/>
  <c r="B627" i="1"/>
  <c r="F621" i="1"/>
  <c r="B619" i="1"/>
  <c r="F613" i="1"/>
  <c r="B611" i="1"/>
  <c r="F573" i="1"/>
  <c r="B547" i="1"/>
  <c r="B507" i="1"/>
  <c r="B483" i="1"/>
  <c r="B459" i="1"/>
  <c r="F445" i="1"/>
  <c r="B443" i="1"/>
  <c r="B427" i="1"/>
  <c r="F421" i="1"/>
  <c r="F405" i="1"/>
  <c r="B403" i="1"/>
  <c r="F389" i="1"/>
  <c r="B387" i="1"/>
  <c r="B371" i="1"/>
  <c r="F349" i="1"/>
  <c r="B315" i="1"/>
  <c r="B291" i="1"/>
  <c r="F285" i="1"/>
  <c r="B283" i="1"/>
  <c r="B267" i="1"/>
  <c r="F261" i="1"/>
  <c r="B259" i="1"/>
  <c r="F245" i="1"/>
  <c r="B243" i="1"/>
  <c r="B227" i="1"/>
  <c r="F205" i="1"/>
  <c r="B171" i="1"/>
  <c r="B147" i="1"/>
  <c r="B91" i="1"/>
  <c r="F85" i="1"/>
  <c r="B83" i="1"/>
  <c r="B59" i="1"/>
  <c r="B35" i="1"/>
  <c r="F1883" i="1"/>
  <c r="F1803" i="1"/>
  <c r="B1785" i="1"/>
  <c r="B1705" i="1"/>
  <c r="F1667" i="1"/>
  <c r="F1531" i="1"/>
  <c r="F1451" i="1"/>
  <c r="F1211" i="1"/>
  <c r="B1105" i="1"/>
  <c r="F1091" i="1"/>
  <c r="F1035" i="1"/>
  <c r="B1017" i="1"/>
  <c r="F1003" i="1"/>
  <c r="B985" i="1"/>
  <c r="F979" i="1"/>
  <c r="B958" i="1"/>
  <c r="F948" i="1"/>
  <c r="F944" i="1"/>
  <c r="F936" i="1"/>
  <c r="F928" i="1"/>
  <c r="F924" i="1"/>
  <c r="B918" i="1"/>
  <c r="F910" i="1"/>
  <c r="B904" i="1"/>
  <c r="F900" i="1"/>
  <c r="F883" i="1"/>
  <c r="F874" i="1"/>
  <c r="F871" i="1"/>
  <c r="B869" i="1"/>
  <c r="F863" i="1"/>
  <c r="B861" i="1"/>
  <c r="F855" i="1"/>
  <c r="B853" i="1"/>
  <c r="F847" i="1"/>
  <c r="B845" i="1"/>
  <c r="F839" i="1"/>
  <c r="B837" i="1"/>
  <c r="F831" i="1"/>
  <c r="B829" i="1"/>
  <c r="F823" i="1"/>
  <c r="B821" i="1"/>
  <c r="F807" i="1"/>
  <c r="B805" i="1"/>
  <c r="F799" i="1"/>
  <c r="B797" i="1"/>
  <c r="F791" i="1"/>
  <c r="B789" i="1"/>
  <c r="F783" i="1"/>
  <c r="B781" i="1"/>
  <c r="F775" i="1"/>
  <c r="B773" i="1"/>
  <c r="F767" i="1"/>
  <c r="B765" i="1"/>
  <c r="F759" i="1"/>
  <c r="B757" i="1"/>
  <c r="F751" i="1"/>
  <c r="B749" i="1"/>
  <c r="F743" i="1"/>
  <c r="B741" i="1"/>
  <c r="B717" i="1"/>
  <c r="F711" i="1"/>
  <c r="F695" i="1"/>
  <c r="B693" i="1"/>
  <c r="F679" i="1"/>
  <c r="B677" i="1"/>
  <c r="F663" i="1"/>
  <c r="B661" i="1"/>
  <c r="B645" i="1"/>
  <c r="F639" i="1"/>
  <c r="F623" i="1"/>
  <c r="B621" i="1"/>
  <c r="F615" i="1"/>
  <c r="B613" i="1"/>
  <c r="F607" i="1"/>
  <c r="F1395" i="1"/>
  <c r="F1147" i="1"/>
  <c r="B929" i="1"/>
  <c r="B922" i="1"/>
  <c r="F903" i="1"/>
  <c r="B898" i="1"/>
  <c r="F858" i="1"/>
  <c r="F842" i="1"/>
  <c r="F826" i="1"/>
  <c r="B810" i="1"/>
  <c r="B794" i="1"/>
  <c r="B778" i="1"/>
  <c r="B762" i="1"/>
  <c r="B746" i="1"/>
  <c r="F716" i="1"/>
  <c r="B712" i="1"/>
  <c r="F439" i="1"/>
  <c r="F428" i="1"/>
  <c r="B424" i="1"/>
  <c r="B408" i="1"/>
  <c r="F386" i="1"/>
  <c r="B290" i="1"/>
  <c r="B285" i="1"/>
  <c r="F260" i="1"/>
  <c r="F239" i="1"/>
  <c r="B216" i="1"/>
  <c r="B205" i="1"/>
  <c r="B194" i="1"/>
  <c r="F84" i="1"/>
  <c r="F72" i="1"/>
  <c r="B24" i="1"/>
  <c r="F266" i="1"/>
  <c r="B86" i="1"/>
  <c r="F548" i="1"/>
  <c r="B445" i="1"/>
  <c r="F290" i="1"/>
  <c r="F36" i="1"/>
  <c r="B1169" i="1"/>
  <c r="F880" i="1"/>
  <c r="B800" i="1"/>
  <c r="B768" i="1"/>
  <c r="F740" i="1"/>
  <c r="B1817" i="1"/>
  <c r="F1419" i="1"/>
  <c r="F1275" i="1"/>
  <c r="B1249" i="1"/>
  <c r="B953" i="1"/>
  <c r="B940" i="1"/>
  <c r="F914" i="1"/>
  <c r="B880" i="1"/>
  <c r="B875" i="1"/>
  <c r="F868" i="1"/>
  <c r="B864" i="1"/>
  <c r="F852" i="1"/>
  <c r="B848" i="1"/>
  <c r="F836" i="1"/>
  <c r="B832" i="1"/>
  <c r="B728" i="1"/>
  <c r="F698" i="1"/>
  <c r="F658" i="1"/>
  <c r="B642" i="1"/>
  <c r="F618" i="1"/>
  <c r="F596" i="1"/>
  <c r="F546" i="1"/>
  <c r="B520" i="1"/>
  <c r="F458" i="1"/>
  <c r="F423" i="1"/>
  <c r="F407" i="1"/>
  <c r="F402" i="1"/>
  <c r="F284" i="1"/>
  <c r="B280" i="1"/>
  <c r="B248" i="1"/>
  <c r="B160" i="1"/>
  <c r="B88" i="1"/>
  <c r="F23" i="1"/>
  <c r="F810" i="1"/>
  <c r="F471" i="1"/>
  <c r="F383" i="1"/>
  <c r="B282" i="1"/>
  <c r="F194" i="1"/>
  <c r="B1681" i="1"/>
  <c r="F1611" i="1"/>
  <c r="B752" i="1"/>
  <c r="B666" i="1"/>
  <c r="F642" i="1"/>
  <c r="B440" i="1"/>
  <c r="B261" i="1"/>
  <c r="F172" i="1"/>
  <c r="B85" i="1"/>
  <c r="B1465" i="1"/>
  <c r="F1267" i="1"/>
  <c r="F1187" i="1"/>
  <c r="F1067" i="1"/>
  <c r="F984" i="1"/>
  <c r="B945" i="1"/>
  <c r="F932" i="1"/>
  <c r="B921" i="1"/>
  <c r="F907" i="1"/>
  <c r="B897" i="1"/>
  <c r="B858" i="1"/>
  <c r="B842" i="1"/>
  <c r="B826" i="1"/>
  <c r="F802" i="1"/>
  <c r="F786" i="1"/>
  <c r="F770" i="1"/>
  <c r="F754" i="1"/>
  <c r="F692" i="1"/>
  <c r="B664" i="1"/>
  <c r="B624" i="1"/>
  <c r="F612" i="1"/>
  <c r="B608" i="1"/>
  <c r="B573" i="1"/>
  <c r="F519" i="1"/>
  <c r="F508" i="1"/>
  <c r="F447" i="1"/>
  <c r="F442" i="1"/>
  <c r="B386" i="1"/>
  <c r="F338" i="1"/>
  <c r="F279" i="1"/>
  <c r="F268" i="1"/>
  <c r="B264" i="1"/>
  <c r="F247" i="1"/>
  <c r="F242" i="1"/>
  <c r="F159" i="1"/>
  <c r="F148" i="1"/>
  <c r="F136" i="1"/>
  <c r="F87" i="1"/>
  <c r="B72" i="1"/>
  <c r="B90" i="1"/>
  <c r="B877" i="1"/>
  <c r="B866" i="1"/>
  <c r="B850" i="1"/>
  <c r="F778" i="1"/>
  <c r="F620" i="1"/>
  <c r="B544" i="1"/>
  <c r="F216" i="1"/>
  <c r="F24" i="1"/>
  <c r="B954" i="1"/>
  <c r="B784" i="1"/>
  <c r="F244" i="1"/>
  <c r="F160" i="1"/>
  <c r="F88" i="1"/>
  <c r="B1761" i="1"/>
  <c r="F1179" i="1"/>
  <c r="F1059" i="1"/>
  <c r="B914" i="1"/>
  <c r="B884" i="1"/>
  <c r="B808" i="1"/>
  <c r="F796" i="1"/>
  <c r="B792" i="1"/>
  <c r="F780" i="1"/>
  <c r="B776" i="1"/>
  <c r="F764" i="1"/>
  <c r="B760" i="1"/>
  <c r="F748" i="1"/>
  <c r="B744" i="1"/>
  <c r="F714" i="1"/>
  <c r="B698" i="1"/>
  <c r="B658" i="1"/>
  <c r="B618" i="1"/>
  <c r="B584" i="1"/>
  <c r="F572" i="1"/>
  <c r="B546" i="1"/>
  <c r="B458" i="1"/>
  <c r="F426" i="1"/>
  <c r="B402" i="1"/>
  <c r="F327" i="1"/>
  <c r="F316" i="1"/>
  <c r="B288" i="1"/>
  <c r="F263" i="1"/>
  <c r="F90" i="1"/>
  <c r="F71" i="1"/>
  <c r="F60" i="1"/>
  <c r="F48" i="1"/>
  <c r="B974" i="1"/>
  <c r="F794" i="1"/>
  <c r="B616" i="1"/>
  <c r="F559" i="1"/>
  <c r="F788" i="1"/>
  <c r="B610" i="1"/>
  <c r="B482" i="1"/>
  <c r="B240" i="1"/>
  <c r="B1753" i="1"/>
  <c r="B1137" i="1"/>
  <c r="B1073" i="1"/>
  <c r="F963" i="1"/>
  <c r="B932" i="1"/>
  <c r="F906" i="1"/>
  <c r="B901" i="1"/>
  <c r="F877" i="1"/>
  <c r="F866" i="1"/>
  <c r="F850" i="1"/>
  <c r="F834" i="1"/>
  <c r="B802" i="1"/>
  <c r="B786" i="1"/>
  <c r="B770" i="1"/>
  <c r="B754" i="1"/>
  <c r="B680" i="1"/>
  <c r="F644" i="1"/>
  <c r="B640" i="1"/>
  <c r="B442" i="1"/>
  <c r="B389" i="1"/>
  <c r="B349" i="1"/>
  <c r="B338" i="1"/>
  <c r="B304" i="1"/>
  <c r="F287" i="1"/>
  <c r="F282" i="1"/>
  <c r="B242" i="1"/>
  <c r="B136" i="1"/>
  <c r="B102" i="1"/>
  <c r="F135" i="1"/>
  <c r="F124" i="1"/>
  <c r="B48" i="1"/>
  <c r="B834" i="1"/>
  <c r="B696" i="1"/>
  <c r="F460" i="1"/>
  <c r="F420" i="1"/>
  <c r="B245" i="1"/>
  <c r="F940" i="1"/>
  <c r="F772" i="1"/>
  <c r="B626" i="1"/>
  <c r="F543" i="1"/>
  <c r="F532" i="1"/>
  <c r="B506" i="1"/>
  <c r="B266" i="1"/>
  <c r="F1827" i="1"/>
  <c r="B1361" i="1"/>
  <c r="B1305" i="1"/>
  <c r="B1225" i="1"/>
  <c r="B1129" i="1"/>
  <c r="B937" i="1"/>
  <c r="B872" i="1"/>
  <c r="F860" i="1"/>
  <c r="B856" i="1"/>
  <c r="F844" i="1"/>
  <c r="B840" i="1"/>
  <c r="F828" i="1"/>
  <c r="B824" i="1"/>
  <c r="B714" i="1"/>
  <c r="F666" i="1"/>
  <c r="F626" i="1"/>
  <c r="F610" i="1"/>
  <c r="B560" i="1"/>
  <c r="F506" i="1"/>
  <c r="F482" i="1"/>
  <c r="B426" i="1"/>
  <c r="B421" i="1"/>
  <c r="B405" i="1"/>
  <c r="F388" i="1"/>
  <c r="B384" i="1"/>
  <c r="B360" i="1"/>
  <c r="F303" i="1"/>
  <c r="F762" i="1"/>
  <c r="F746" i="1"/>
  <c r="F660" i="1"/>
  <c r="F404" i="1"/>
  <c r="F47" i="1"/>
  <c r="B1545" i="1"/>
  <c r="F804" i="1"/>
  <c r="F756" i="1"/>
  <c r="F444" i="1"/>
  <c r="F183" i="1"/>
  <c r="F184" i="1" l="1"/>
  <c r="F49" i="1"/>
  <c r="F484" i="1"/>
  <c r="F533" i="1"/>
  <c r="F549" i="1"/>
  <c r="F429" i="1"/>
  <c r="F125" i="1"/>
  <c r="F137" i="1"/>
  <c r="F562" i="1"/>
  <c r="F73" i="1"/>
  <c r="F328" i="1"/>
  <c r="F574" i="1"/>
  <c r="F217" i="1"/>
  <c r="F161" i="1"/>
  <c r="F292" i="1"/>
  <c r="F339" i="1"/>
  <c r="F522" i="1"/>
  <c r="F700" i="1"/>
  <c r="F1612" i="1"/>
  <c r="F195" i="1"/>
  <c r="F472" i="1"/>
  <c r="F25" i="1"/>
  <c r="F461" i="1"/>
  <c r="F597" i="1"/>
  <c r="F1424" i="1"/>
  <c r="F811" i="1"/>
  <c r="F448" i="1"/>
  <c r="F1396" i="1"/>
  <c r="F628" i="1"/>
  <c r="F1884" i="1"/>
  <c r="F206" i="1"/>
  <c r="F350" i="1"/>
  <c r="F682" i="1"/>
  <c r="F886" i="1"/>
  <c r="F361" i="1"/>
  <c r="F586" i="1"/>
  <c r="F730" i="1"/>
  <c r="F37" i="1"/>
  <c r="F61" i="1"/>
  <c r="F92" i="1"/>
  <c r="F149" i="1"/>
  <c r="F173" i="1"/>
  <c r="F228" i="1"/>
  <c r="F269" i="1"/>
  <c r="F317" i="1"/>
  <c r="F372" i="1"/>
  <c r="F103" i="1"/>
  <c r="F249" i="1"/>
  <c r="F305" i="1"/>
  <c r="F391" i="1"/>
  <c r="F495" i="1"/>
  <c r="F647" i="1"/>
  <c r="F718" i="1"/>
  <c r="F1079" i="1"/>
  <c r="F1340" i="1"/>
  <c r="F114" i="1"/>
  <c r="F410" i="1"/>
  <c r="F509" i="1"/>
  <c r="F667" i="1"/>
  <c r="F964" i="1"/>
  <c r="F1214" i="1"/>
  <c r="F1041" i="1"/>
  <c r="F1351" i="1"/>
  <c r="F1409" i="1"/>
  <c r="F1504" i="1"/>
  <c r="F1550" i="1"/>
  <c r="F1623" i="1"/>
  <c r="F1720" i="1"/>
  <c r="F1743" i="1"/>
  <c r="F1840" i="1"/>
  <c r="F1895" i="1"/>
  <c r="F1117" i="1"/>
  <c r="F1306" i="1"/>
  <c r="F1362" i="1"/>
  <c r="F1454" i="1"/>
  <c r="F1634" i="1"/>
  <c r="F1683" i="1"/>
  <c r="F1708" i="1"/>
  <c r="F1765" i="1"/>
  <c r="F1828" i="1"/>
  <c r="F1906" i="1"/>
  <c r="F1318" i="1"/>
  <c r="F1373" i="1"/>
  <c r="F1645" i="1"/>
  <c r="F1807" i="1"/>
  <c r="F1917" i="1"/>
  <c r="F1155" i="1"/>
  <c r="F1295" i="1"/>
  <c r="F1385" i="1"/>
  <c r="F1480" i="1"/>
  <c r="F1656" i="1"/>
  <c r="F1786" i="1"/>
  <c r="F1277" i="1"/>
  <c r="F1439" i="1"/>
  <c r="F1492" i="1"/>
  <c r="F1518" i="1"/>
  <c r="F1584" i="1"/>
  <c r="F1601" i="1"/>
  <c r="F1671" i="1"/>
  <c r="F1732" i="1"/>
  <c r="F1851" i="1"/>
  <c r="F1193" i="1"/>
  <c r="F1256" i="1"/>
  <c r="F1695" i="1"/>
  <c r="F1862" i="1"/>
  <c r="F1235" i="1"/>
  <c r="F1329" i="1"/>
  <c r="F1469" i="1"/>
  <c r="F1532" i="1"/>
  <c r="F1568" i="1"/>
  <c r="F1873" i="1"/>
  <c r="B9" i="1" l="1"/>
  <c r="B10" i="1"/>
</calcChain>
</file>

<file path=xl/sharedStrings.xml><?xml version="1.0" encoding="utf-8"?>
<sst xmlns="http://schemas.openxmlformats.org/spreadsheetml/2006/main" count="4032" uniqueCount="348">
  <si>
    <t xml:space="preserve">PLAN ANUAL DE COMPRAS Y CONTRATACIONES 
</t>
  </si>
  <si>
    <t>SNCC.F.069</t>
  </si>
  <si>
    <t xml:space="preserve">Capítulo </t>
  </si>
  <si>
    <t>5150</t>
  </si>
  <si>
    <t>Version: 1.0.0</t>
  </si>
  <si>
    <t>Sub Capítulo</t>
  </si>
  <si>
    <t>01</t>
  </si>
  <si>
    <t>Unidad Ejecutora</t>
  </si>
  <si>
    <t>0001</t>
  </si>
  <si>
    <t>Cantidad Procesos Registrados</t>
  </si>
  <si>
    <t xml:space="preserve">Unidad de Compra </t>
  </si>
  <si>
    <t>CONSEJO NACIONAL DE ZONAS FRANCAS DE EXPORTACION</t>
  </si>
  <si>
    <t>Monto Estimado Total</t>
  </si>
  <si>
    <t>Código de la Unidad de Compra</t>
  </si>
  <si>
    <t>000857</t>
  </si>
  <si>
    <t xml:space="preserve">Año Fiscal </t>
  </si>
  <si>
    <t>2022</t>
  </si>
  <si>
    <t>Fecha Aprobación</t>
  </si>
  <si>
    <t/>
  </si>
  <si>
    <t>NOMBRE O REFERENCIA DE CONTRATACIÓN</t>
  </si>
  <si>
    <t>FINALIDAD DE LA CONTRATACIÓN</t>
  </si>
  <si>
    <t>OBJETO DE CONTRATACIÓN</t>
  </si>
  <si>
    <t>PROCEDIMIENTO DE SELECCIÓN</t>
  </si>
  <si>
    <t>DESTINADO A MIPYMES</t>
  </si>
  <si>
    <t>CÓDIGO SNIP</t>
  </si>
  <si>
    <t>Cobustible</t>
  </si>
  <si>
    <t>ADQUISICION COMBUSTIBLE PARA LA INSTITUCION.</t>
  </si>
  <si>
    <t>Bienes</t>
  </si>
  <si>
    <t>Compras Menores</t>
  </si>
  <si>
    <t>No</t>
  </si>
  <si>
    <t>FECHA DE NECESSIDAD</t>
  </si>
  <si>
    <t>FECHA INICIO PROCESO DE COMPRA</t>
  </si>
  <si>
    <t>LUGAR DE EJECUCIÓN / ENTREGA</t>
  </si>
  <si>
    <t>Región</t>
  </si>
  <si>
    <t>OZAMA O METROPOLITANA</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</si>
  <si>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</si>
  <si>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</si>
  <si>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</si>
  <si>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</si>
  <si>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</si>
  <si>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</si>
  <si>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</si>
  <si>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</si>
  <si>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</si>
  <si>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</si>
  <si>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</si>
  <si>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15101505</t>
  </si>
  <si>
    <t>15121520</t>
  </si>
  <si>
    <t>TOTAL COMPRA ESTIMADA</t>
  </si>
  <si>
    <t>Combustible</t>
  </si>
  <si>
    <t xml:space="preserve">Adquisición combustible para la institución </t>
  </si>
  <si>
    <t>Adquisición combustible para la institución</t>
  </si>
  <si>
    <t>Muebles y Equipos de Oficina</t>
  </si>
  <si>
    <t>Compras por debajo del Umbral</t>
  </si>
  <si>
    <t>Sí</t>
  </si>
  <si>
    <t>56101522</t>
  </si>
  <si>
    <t>56101703</t>
  </si>
  <si>
    <t>56101519</t>
  </si>
  <si>
    <t>56111906</t>
  </si>
  <si>
    <t>56101530</t>
  </si>
  <si>
    <t>56101706</t>
  </si>
  <si>
    <t>56101708</t>
  </si>
  <si>
    <t>56111509</t>
  </si>
  <si>
    <t>Mantenimiento Ascensor</t>
  </si>
  <si>
    <t>Servicios</t>
  </si>
  <si>
    <t>72101506</t>
  </si>
  <si>
    <t>Componentes de Vehículos</t>
  </si>
  <si>
    <t>26111703</t>
  </si>
  <si>
    <t>25172502</t>
  </si>
  <si>
    <t>Mantenimiento y Reparación de Vehículo</t>
  </si>
  <si>
    <t>25173813</t>
  </si>
  <si>
    <t>Adquisición de Vehículos</t>
  </si>
  <si>
    <t>25101503</t>
  </si>
  <si>
    <t>Fuente de Energía</t>
  </si>
  <si>
    <t>26111701</t>
  </si>
  <si>
    <t>Batería para Inversores</t>
  </si>
  <si>
    <t>Baterías para Inversores</t>
  </si>
  <si>
    <t xml:space="preserve">Adquisición Equipos Informáticos y accesorios </t>
  </si>
  <si>
    <t>Comparacion de Precios</t>
  </si>
  <si>
    <t>43211711</t>
  </si>
  <si>
    <t>39121409</t>
  </si>
  <si>
    <t>43212105</t>
  </si>
  <si>
    <t>43212110</t>
  </si>
  <si>
    <t>26121609</t>
  </si>
  <si>
    <t>43201803</t>
  </si>
  <si>
    <t>27111701</t>
  </si>
  <si>
    <t>43211508</t>
  </si>
  <si>
    <t>43211507</t>
  </si>
  <si>
    <t>26121629</t>
  </si>
  <si>
    <t>Adquisición de Equipos Informático y Accesorios</t>
  </si>
  <si>
    <t>45111616</t>
  </si>
  <si>
    <t>32101622</t>
  </si>
  <si>
    <t>43211714</t>
  </si>
  <si>
    <t>43211501</t>
  </si>
  <si>
    <t>43211503</t>
  </si>
  <si>
    <t>43201807</t>
  </si>
  <si>
    <t>Licencias para Sistemas de la institución</t>
  </si>
  <si>
    <t>43231512</t>
  </si>
  <si>
    <t xml:space="preserve">Licencias para Sistemas de la Institución </t>
  </si>
  <si>
    <t>Mantenimiento de Equipos Informáticos</t>
  </si>
  <si>
    <t>81111812</t>
  </si>
  <si>
    <t xml:space="preserve">Cartuchos y Toners </t>
  </si>
  <si>
    <t>44103103</t>
  </si>
  <si>
    <t>Cartuchos y Toner</t>
  </si>
  <si>
    <t>Adquisición Cartuchos y Tóner</t>
  </si>
  <si>
    <t>Cartuchos y Tóner</t>
  </si>
  <si>
    <t>Protocolo</t>
  </si>
  <si>
    <t>Atención a Clientes y Relacionados</t>
  </si>
  <si>
    <t>60124102</t>
  </si>
  <si>
    <t>50211502</t>
  </si>
  <si>
    <t>50202206</t>
  </si>
  <si>
    <t>Atención Clientes y Relacionados</t>
  </si>
  <si>
    <t>Atenciones Clientes y Relacionados</t>
  </si>
  <si>
    <t>Artículos Promocionales</t>
  </si>
  <si>
    <t>Promoción</t>
  </si>
  <si>
    <t>53103001</t>
  </si>
  <si>
    <t>53102505</t>
  </si>
  <si>
    <t>14111601</t>
  </si>
  <si>
    <t xml:space="preserve">Promoción </t>
  </si>
  <si>
    <t>82121505</t>
  </si>
  <si>
    <t>43191610</t>
  </si>
  <si>
    <t>55121804</t>
  </si>
  <si>
    <t>Textil, Indumentaria Art. Persona</t>
  </si>
  <si>
    <t>Uniforme de Empleados</t>
  </si>
  <si>
    <t>82121510</t>
  </si>
  <si>
    <t>53101602</t>
  </si>
  <si>
    <t>53101502</t>
  </si>
  <si>
    <t>53102710</t>
  </si>
  <si>
    <t>Uniformes Empleados</t>
  </si>
  <si>
    <t>53101604</t>
  </si>
  <si>
    <t>53101504</t>
  </si>
  <si>
    <t>53101804</t>
  </si>
  <si>
    <t>Servicio de Catering</t>
  </si>
  <si>
    <t xml:space="preserve">Almuerzo Empleados de la Institución </t>
  </si>
  <si>
    <t>90101802</t>
  </si>
  <si>
    <t>Bonos para Empleados</t>
  </si>
  <si>
    <t xml:space="preserve">Bonos para Empleados de la Institución </t>
  </si>
  <si>
    <t>14111608</t>
  </si>
  <si>
    <t>Bonos para Empleados de la Institución</t>
  </si>
  <si>
    <t>Articulo Ferretero</t>
  </si>
  <si>
    <t xml:space="preserve">Adquisición artículos ferretero </t>
  </si>
  <si>
    <t>27111801</t>
  </si>
  <si>
    <t>32141016</t>
  </si>
  <si>
    <t>39121304</t>
  </si>
  <si>
    <t>39121505</t>
  </si>
  <si>
    <t>60104912</t>
  </si>
  <si>
    <t>39101605</t>
  </si>
  <si>
    <t>31201610</t>
  </si>
  <si>
    <t>30181505</t>
  </si>
  <si>
    <t>30181504</t>
  </si>
  <si>
    <t>30181506</t>
  </si>
  <si>
    <t>22101619</t>
  </si>
  <si>
    <t>27111515</t>
  </si>
  <si>
    <t>41113637</t>
  </si>
  <si>
    <t>39111521</t>
  </si>
  <si>
    <t>27111704</t>
  </si>
  <si>
    <t>31201518</t>
  </si>
  <si>
    <t>31201605</t>
  </si>
  <si>
    <t>31201501</t>
  </si>
  <si>
    <t>Artículos Ferreteros</t>
  </si>
  <si>
    <t>Adquisición de Artículos Ferreteros</t>
  </si>
  <si>
    <t>Adquisición Artículos Ferreteros</t>
  </si>
  <si>
    <t>12352310</t>
  </si>
  <si>
    <t>39121311</t>
  </si>
  <si>
    <t>Ferretería Y Pintura</t>
  </si>
  <si>
    <t>31211506</t>
  </si>
  <si>
    <t>31211508</t>
  </si>
  <si>
    <t>11162116</t>
  </si>
  <si>
    <t>31211904</t>
  </si>
  <si>
    <t>31211906</t>
  </si>
  <si>
    <t>31211912</t>
  </si>
  <si>
    <t>31201515</t>
  </si>
  <si>
    <t>31211909</t>
  </si>
  <si>
    <t>Equipo de Refrigeración</t>
  </si>
  <si>
    <t>Acondicionadores de Aire y Accesorios</t>
  </si>
  <si>
    <t>40101701</t>
  </si>
  <si>
    <t>Suministro y Materiales de Oficina</t>
  </si>
  <si>
    <t>44121802</t>
  </si>
  <si>
    <t>44121706</t>
  </si>
  <si>
    <t>44121716</t>
  </si>
  <si>
    <t>44122005</t>
  </si>
  <si>
    <t>44122010</t>
  </si>
  <si>
    <t>44122104</t>
  </si>
  <si>
    <t>44121615</t>
  </si>
  <si>
    <t>44121613</t>
  </si>
  <si>
    <t>44122105</t>
  </si>
  <si>
    <t>44121618</t>
  </si>
  <si>
    <t>12181501</t>
  </si>
  <si>
    <t>14111506</t>
  </si>
  <si>
    <t>44122107</t>
  </si>
  <si>
    <t>44121701</t>
  </si>
  <si>
    <t>41111604</t>
  </si>
  <si>
    <t>14111537</t>
  </si>
  <si>
    <t>60103107</t>
  </si>
  <si>
    <t>14111531</t>
  </si>
  <si>
    <t>44112001</t>
  </si>
  <si>
    <t>44112005</t>
  </si>
  <si>
    <t>44111513</t>
  </si>
  <si>
    <t>14111530</t>
  </si>
  <si>
    <t>44122011</t>
  </si>
  <si>
    <t>44122017</t>
  </si>
  <si>
    <t>14111527</t>
  </si>
  <si>
    <t>14111515</t>
  </si>
  <si>
    <t>43211802</t>
  </si>
  <si>
    <t>43211708</t>
  </si>
  <si>
    <t>43211706</t>
  </si>
  <si>
    <t>44122003</t>
  </si>
  <si>
    <t>44121708</t>
  </si>
  <si>
    <t>44111503</t>
  </si>
  <si>
    <t>44103112</t>
  </si>
  <si>
    <t>44102606</t>
  </si>
  <si>
    <t>31201512</t>
  </si>
  <si>
    <t>44121605</t>
  </si>
  <si>
    <t>44121628</t>
  </si>
  <si>
    <t>44121904</t>
  </si>
  <si>
    <t>44122016</t>
  </si>
  <si>
    <t>44101602</t>
  </si>
  <si>
    <t>44111515</t>
  </si>
  <si>
    <t>44103504</t>
  </si>
  <si>
    <t>26111702</t>
  </si>
  <si>
    <t>47121702</t>
  </si>
  <si>
    <t>44121503</t>
  </si>
  <si>
    <t>44121506</t>
  </si>
  <si>
    <t>44121507</t>
  </si>
  <si>
    <t>Limpiadores de vidrio o ventanas</t>
  </si>
  <si>
    <t>MIPYME Mujeres</t>
  </si>
  <si>
    <t>47131604</t>
  </si>
  <si>
    <t>47131801</t>
  </si>
  <si>
    <t>47131812</t>
  </si>
  <si>
    <t>47131603</t>
  </si>
  <si>
    <t>46181504</t>
  </si>
  <si>
    <t>47131827</t>
  </si>
  <si>
    <t>14111703</t>
  </si>
  <si>
    <t>14111704</t>
  </si>
  <si>
    <t>14111705</t>
  </si>
  <si>
    <t>47121701</t>
  </si>
  <si>
    <t>47131502</t>
  </si>
  <si>
    <t>52151504</t>
  </si>
  <si>
    <t>47131618</t>
  </si>
  <si>
    <t>53131608</t>
  </si>
  <si>
    <t>53131626</t>
  </si>
  <si>
    <t>47131807</t>
  </si>
  <si>
    <t>47131608</t>
  </si>
  <si>
    <t>14111701</t>
  </si>
  <si>
    <t>12161902</t>
  </si>
  <si>
    <t>47131602</t>
  </si>
  <si>
    <t>47131824</t>
  </si>
  <si>
    <t>Alimentos y Bebidas</t>
  </si>
  <si>
    <t>50202310</t>
  </si>
  <si>
    <t>50161509</t>
  </si>
  <si>
    <t>50201711</t>
  </si>
  <si>
    <t>50201714</t>
  </si>
  <si>
    <t>50201706</t>
  </si>
  <si>
    <t>50151513</t>
  </si>
  <si>
    <t>50171707</t>
  </si>
  <si>
    <t>50171551</t>
  </si>
  <si>
    <t>90101603</t>
  </si>
  <si>
    <t>Servicios de cáterin</t>
  </si>
  <si>
    <t>Equipos de Seguridad</t>
  </si>
  <si>
    <t>46191601</t>
  </si>
  <si>
    <t>46181604</t>
  </si>
  <si>
    <t>46181701</t>
  </si>
  <si>
    <t>46181507</t>
  </si>
  <si>
    <t>42241811</t>
  </si>
  <si>
    <t>60131105</t>
  </si>
  <si>
    <t>46171610</t>
  </si>
  <si>
    <t>Publicacion y Medio de Comunicacion</t>
  </si>
  <si>
    <t>82101504</t>
  </si>
  <si>
    <t>82111904</t>
  </si>
  <si>
    <t>Mantenimiento y Reparación de Aires Acondicionado</t>
  </si>
  <si>
    <t>72102305</t>
  </si>
  <si>
    <t xml:space="preserve">Servicios de Capacitación </t>
  </si>
  <si>
    <t>86101705</t>
  </si>
  <si>
    <t>Capacitación administrativa</t>
  </si>
  <si>
    <t>Actividades del CNZFE</t>
  </si>
  <si>
    <t>80141607</t>
  </si>
  <si>
    <t>Servicios de Montajes de Eventos y Reuniones del CNZFE</t>
  </si>
  <si>
    <t xml:space="preserve">Adquisición de Electrodoméstico </t>
  </si>
  <si>
    <t>52141501</t>
  </si>
  <si>
    <t>52141502</t>
  </si>
  <si>
    <t>Servicio de Lavado y Planchado</t>
  </si>
  <si>
    <t>91111502</t>
  </si>
  <si>
    <t>Servicios de lavandería</t>
  </si>
  <si>
    <t>Servicio de Fumigación</t>
  </si>
  <si>
    <t>72102103</t>
  </si>
  <si>
    <t>Puertas, Ventanas y Vidrios</t>
  </si>
  <si>
    <t>72102602</t>
  </si>
  <si>
    <t>Instalación de ventanas, puertas o dispositivos</t>
  </si>
  <si>
    <t>Manteles, Paños de Cocina y Accesorios</t>
  </si>
  <si>
    <t>52121604</t>
  </si>
  <si>
    <t>52121602</t>
  </si>
  <si>
    <t>Manteles y Paños de Cocina</t>
  </si>
  <si>
    <t>Utensilios de Cocina Domestico</t>
  </si>
  <si>
    <t xml:space="preserve">Cristalería para uso de la Institución </t>
  </si>
  <si>
    <t>48101907</t>
  </si>
  <si>
    <t>48101904</t>
  </si>
  <si>
    <t>52152102</t>
  </si>
  <si>
    <t>52152101</t>
  </si>
  <si>
    <t>52152004</t>
  </si>
  <si>
    <t>52151702</t>
  </si>
  <si>
    <t>52151703</t>
  </si>
  <si>
    <t>52151704</t>
  </si>
  <si>
    <t>Cristalería para uso de La Institución</t>
  </si>
  <si>
    <t>52152104</t>
  </si>
  <si>
    <t>Imprenta y Publicaciones</t>
  </si>
  <si>
    <t>Materiales Impresos</t>
  </si>
  <si>
    <t>82121507</t>
  </si>
  <si>
    <t>14111604</t>
  </si>
  <si>
    <t>Servicio de Mantenimiento de Vehiculos</t>
  </si>
  <si>
    <t>78180103</t>
  </si>
  <si>
    <t>Servicios de Mantenimiento de Vehículos</t>
  </si>
  <si>
    <t>Alquileres Fotocopiadoras</t>
  </si>
  <si>
    <t>44101501</t>
  </si>
  <si>
    <t>Renovación Suscripción Periódico</t>
  </si>
  <si>
    <t>82121801</t>
  </si>
  <si>
    <t>Boletos Aéreos y Seguro de Viajes</t>
  </si>
  <si>
    <t>84131517</t>
  </si>
  <si>
    <t>78111502</t>
  </si>
  <si>
    <t>Boletos, Aéreos y Seguro de Viajes</t>
  </si>
  <si>
    <t>Contratación Servicios Profesionales</t>
  </si>
  <si>
    <t>81111805</t>
  </si>
  <si>
    <t>80101504</t>
  </si>
  <si>
    <t>80121609</t>
  </si>
  <si>
    <t>81112103</t>
  </si>
  <si>
    <t>Medicamentos</t>
  </si>
  <si>
    <t>51161812</t>
  </si>
  <si>
    <t>51171609</t>
  </si>
  <si>
    <t>51171704</t>
  </si>
  <si>
    <t>51171807</t>
  </si>
  <si>
    <t>51102710</t>
  </si>
  <si>
    <t>51171904</t>
  </si>
  <si>
    <t>53131615</t>
  </si>
  <si>
    <t>51241208</t>
  </si>
  <si>
    <t>51142106</t>
  </si>
  <si>
    <t>51142001</t>
  </si>
  <si>
    <t>42131606</t>
  </si>
  <si>
    <t>Producto de Floristería y Silvicultura</t>
  </si>
  <si>
    <t>Adquisición Arreglos Florales</t>
  </si>
  <si>
    <t>10161707</t>
  </si>
  <si>
    <t>Arreglos Florales</t>
  </si>
  <si>
    <t>Servicio de Impresión y Encuadernación</t>
  </si>
  <si>
    <t>82121903</t>
  </si>
  <si>
    <t>Adquisición  Ascensor</t>
  </si>
  <si>
    <t>Ascensor para Sede Edificio Oficina del CNZFE</t>
  </si>
  <si>
    <t>24101601</t>
  </si>
  <si>
    <t>Mantenimiento de Edificio</t>
  </si>
  <si>
    <t>Mantenimiento y Reparaciones Menores en Edificaciones</t>
  </si>
  <si>
    <t>72102802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</si>
</sst>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5" x14ac:knownFonts="1">
    <font>
      <sz val="11"/>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b/>
      <sz val="8"/>
      <color theme="1"/>
      <name val="Calibri"/>
      <family val="2"/>
      <scheme val="minor"/>
    </font>
    <font>
      <sz val="11"/>
      <color theme="1"/>
      <name val="Arial Narrow"/>
      <family val="2"/>
    </font>
    <font>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12" fillId="5" borderId="6">
      <alignment horizontal="center" vertical="center" wrapText="1"/>
    </xf>
    <xf numFmtId="0" fontId="12" fillId="0" borderId="6">
      <alignment horizontal="center" vertical="center"/>
    </xf>
    <xf numFmtId="0" fontId="12" fillId="5" borderId="6">
      <alignment horizontal="center" vertical="center" textRotation="90" wrapText="1"/>
    </xf>
    <xf numFmtId="0" fontId="12" fillId="6" borderId="6">
      <alignment horizontal="center" vertical="center"/>
    </xf>
    <xf numFmtId="166" fontId="12" fillId="0" borderId="6">
      <alignment horizontal="center" vertical="center"/>
    </xf>
    <xf numFmtId="0" fontId="12" fillId="6" borderId="6">
      <alignment horizontal="center" vertical="center"/>
    </xf>
    <xf numFmtId="0" fontId="12" fillId="0" borderId="6">
      <alignment horizontal="left" vertical="center"/>
    </xf>
    <xf numFmtId="0" fontId="12" fillId="0" borderId="6">
      <alignment horizontal="center" vertical="center"/>
    </xf>
    <xf numFmtId="0" fontId="12" fillId="7" borderId="6">
      <alignment horizontal="center" vertical="center"/>
    </xf>
    <xf numFmtId="0" fontId="14" fillId="8" borderId="8">
      <alignment horizontal="center" vertical="center"/>
    </xf>
    <xf numFmtId="0" fontId="14" fillId="8" borderId="8">
      <alignment horizontal="center" vertical="center" wrapText="1"/>
    </xf>
    <xf numFmtId="0" fontId="14" fillId="8" borderId="8">
      <alignment horizontal="left" vertical="center"/>
    </xf>
    <xf numFmtId="167" fontId="14" fillId="8" borderId="8">
      <alignment horizontal="center" vertical="center"/>
    </xf>
  </cellStyleXfs>
  <cellXfs count="54">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pplyProtection="1">
      <alignment vertical="center"/>
      <protection hidden="1"/>
    </xf>
    <xf numFmtId="0" fontId="5" fillId="2" borderId="1" xfId="0" applyFont="1" applyFill="1" applyBorder="1" applyAlignment="1" applyProtection="1">
      <alignment vertical="center"/>
      <protection hidden="1"/>
    </xf>
    <xf numFmtId="0" fontId="5" fillId="2" borderId="1" xfId="0" applyFont="1" applyFill="1" applyBorder="1" applyAlignment="1">
      <alignment vertical="center"/>
    </xf>
    <xf numFmtId="0" fontId="5" fillId="2" borderId="0" xfId="0" applyFont="1" applyFill="1" applyAlignment="1" applyProtection="1">
      <alignment vertical="center"/>
      <protection hidden="1"/>
    </xf>
    <xf numFmtId="0" fontId="5" fillId="0" borderId="0" xfId="0" applyFont="1" applyAlignment="1" applyProtection="1">
      <alignment vertical="center"/>
      <protection hidden="1"/>
    </xf>
    <xf numFmtId="0" fontId="6" fillId="2" borderId="0" xfId="0" applyFont="1" applyFill="1" applyAlignment="1">
      <alignment vertical="top" wrapText="1"/>
    </xf>
    <xf numFmtId="0" fontId="6" fillId="2" borderId="0" xfId="0" applyFont="1" applyFill="1" applyAlignment="1">
      <alignment vertical="center" wrapText="1"/>
    </xf>
    <xf numFmtId="0" fontId="5" fillId="2" borderId="0" xfId="0" applyFont="1" applyFill="1" applyAlignment="1">
      <alignment vertical="center"/>
    </xf>
    <xf numFmtId="0" fontId="7"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pplyProtection="1">
      <alignment vertical="center"/>
      <protection hidden="1"/>
    </xf>
    <xf numFmtId="0" fontId="9" fillId="2" borderId="0" xfId="0" applyFont="1" applyFill="1" applyAlignment="1">
      <alignment horizontal="left" vertical="center"/>
    </xf>
    <xf numFmtId="0" fontId="8" fillId="2" borderId="3" xfId="0" applyFont="1" applyFill="1" applyBorder="1" applyAlignment="1" applyProtection="1">
      <alignment vertical="center"/>
      <protection hidden="1"/>
    </xf>
    <xf numFmtId="38" fontId="10" fillId="3" borderId="4" xfId="0" applyNumberFormat="1" applyFont="1" applyFill="1" applyBorder="1" applyAlignment="1">
      <alignment vertical="center" wrapText="1"/>
    </xf>
    <xf numFmtId="0" fontId="8" fillId="0" borderId="0" xfId="0" applyFont="1" applyAlignment="1" applyProtection="1">
      <alignment vertical="center"/>
      <protection hidden="1"/>
    </xf>
    <xf numFmtId="0" fontId="9" fillId="2" borderId="0" xfId="0" applyFont="1" applyFill="1" applyAlignment="1">
      <alignment vertical="center"/>
    </xf>
    <xf numFmtId="0" fontId="10" fillId="4" borderId="4" xfId="0" applyFont="1" applyFill="1" applyBorder="1" applyAlignment="1">
      <alignment horizontal="left" vertical="center"/>
    </xf>
    <xf numFmtId="0" fontId="11" fillId="0" borderId="6" xfId="0" applyFont="1" applyBorder="1" applyAlignment="1">
      <alignment vertical="center"/>
    </xf>
    <xf numFmtId="0" fontId="10" fillId="4" borderId="7" xfId="0" applyFont="1" applyFill="1" applyBorder="1" applyAlignment="1">
      <alignment horizontal="left" vertical="center"/>
    </xf>
    <xf numFmtId="164" fontId="11" fillId="0" borderId="6" xfId="0" applyNumberFormat="1" applyFont="1" applyBorder="1" applyAlignment="1">
      <alignment vertical="center"/>
    </xf>
    <xf numFmtId="0" fontId="8" fillId="2" borderId="2" xfId="0" applyFont="1" applyFill="1" applyBorder="1" applyAlignment="1" applyProtection="1">
      <alignment vertical="center"/>
      <protection hidden="1"/>
    </xf>
    <xf numFmtId="0" fontId="12" fillId="5" borderId="6" xfId="1">
      <alignment horizontal="center" vertical="center" wrapText="1"/>
    </xf>
    <xf numFmtId="0" fontId="13" fillId="0" borderId="0" xfId="0" applyFont="1" applyAlignment="1">
      <alignment vertical="center"/>
    </xf>
    <xf numFmtId="0" fontId="12" fillId="0" borderId="6" xfId="2" applyProtection="1">
      <alignment horizontal="center" vertical="center"/>
      <protection locked="0"/>
    </xf>
    <xf numFmtId="0" fontId="12" fillId="6" borderId="6" xfId="4">
      <alignment horizontal="center" vertical="center"/>
    </xf>
    <xf numFmtId="166" fontId="12" fillId="0" borderId="6" xfId="5" applyProtection="1">
      <alignment horizontal="center" vertical="center"/>
      <protection locked="0"/>
    </xf>
    <xf numFmtId="0" fontId="12" fillId="6" borderId="6" xfId="6">
      <alignment horizontal="center" vertical="center"/>
    </xf>
    <xf numFmtId="0" fontId="12" fillId="0" borderId="6" xfId="7" applyProtection="1">
      <alignment horizontal="left" vertical="center"/>
      <protection locked="0"/>
    </xf>
    <xf numFmtId="0" fontId="12" fillId="0" borderId="6" xfId="8">
      <alignment horizontal="center" vertical="center"/>
    </xf>
    <xf numFmtId="0" fontId="12" fillId="7" borderId="6" xfId="9">
      <alignment horizontal="center" vertical="center"/>
    </xf>
    <xf numFmtId="0" fontId="14" fillId="8" borderId="8" xfId="10" applyProtection="1">
      <alignment horizontal="center" vertical="center"/>
      <protection locked="0"/>
    </xf>
    <xf numFmtId="0" fontId="14" fillId="8" borderId="8" xfId="11">
      <alignment horizontal="center" vertical="center" wrapText="1"/>
    </xf>
    <xf numFmtId="0" fontId="14" fillId="8" borderId="8" xfId="12" applyProtection="1">
      <alignment horizontal="left" vertical="center"/>
      <protection locked="0"/>
    </xf>
    <xf numFmtId="167" fontId="14" fillId="8" borderId="8" xfId="13" applyProtection="1">
      <alignment horizontal="center" vertical="center"/>
      <protection locked="0"/>
    </xf>
    <xf numFmtId="167" fontId="14" fillId="8" borderId="8" xfId="13">
      <alignment horizontal="center" vertical="center"/>
    </xf>
    <xf numFmtId="0" fontId="12" fillId="7" borderId="8" xfId="9" applyBorder="1">
      <alignment horizontal="center" vertical="center"/>
    </xf>
    <xf numFmtId="167" fontId="14" fillId="7" borderId="8" xfId="13" applyFill="1">
      <alignment horizontal="center" vertical="center"/>
    </xf>
    <xf numFmtId="0" fontId="13" fillId="2" borderId="0" xfId="0" applyFont="1" applyFill="1" applyAlignment="1">
      <alignment vertical="center"/>
    </xf>
    <xf numFmtId="0" fontId="12" fillId="2" borderId="8" xfId="9" applyFill="1" applyBorder="1">
      <alignment horizontal="center" vertical="center"/>
    </xf>
    <xf numFmtId="167" fontId="14" fillId="2" borderId="8" xfId="13" applyFill="1">
      <alignment horizontal="center" vertical="center"/>
    </xf>
    <xf numFmtId="0" fontId="12" fillId="5" borderId="6" xfId="3">
      <alignment horizontal="center" vertical="center" textRotation="90" wrapText="1"/>
    </xf>
    <xf numFmtId="0" fontId="12" fillId="0" borderId="6" xfId="2">
      <alignment horizontal="center" vertical="center"/>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1" fontId="11" fillId="0" borderId="4" xfId="0" applyNumberFormat="1" applyFont="1" applyBorder="1" applyAlignment="1" applyProtection="1">
      <alignment horizontal="center" vertical="center" wrapText="1"/>
      <protection locked="0"/>
    </xf>
    <xf numFmtId="1" fontId="11" fillId="0" borderId="5" xfId="0" applyNumberFormat="1" applyFont="1" applyBorder="1" applyAlignment="1" applyProtection="1">
      <alignment horizontal="center" vertical="center" wrapText="1"/>
      <protection locked="0"/>
    </xf>
    <xf numFmtId="165" fontId="11" fillId="0" borderId="4" xfId="0" applyNumberFormat="1" applyFont="1" applyBorder="1" applyAlignment="1" applyProtection="1">
      <alignment horizontal="center" vertical="center" wrapText="1"/>
      <protection locked="0"/>
    </xf>
    <xf numFmtId="165" fontId="11" fillId="0" borderId="5"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protection hidden="1"/>
    </xf>
    <xf numFmtId="0" fontId="6" fillId="3" borderId="0" xfId="0" applyFont="1" applyFill="1" applyAlignment="1">
      <alignment horizontal="center" vertical="top" wrapText="1"/>
    </xf>
    <xf numFmtId="0" fontId="6" fillId="3" borderId="0" xfId="0" applyFont="1" applyFill="1" applyAlignment="1">
      <alignment horizontal="center" vertical="center" wrapText="1"/>
    </xf>
  </cellXfs>
  <cellStyles count="14">
    <cellStyle name="ArticleBody" xfId="10" xr:uid="{5B18699B-D2DA-4BD7-9D43-D6679EC49601}"/>
    <cellStyle name="ArticleBody_currency" xfId="13" xr:uid="{B4239A72-268B-4717-AD60-614D12BE1101}"/>
    <cellStyle name="ArticleBody_text" xfId="12" xr:uid="{1A322749-2422-41D2-AD79-A1021CD9D7C5}"/>
    <cellStyle name="ArticleBody_UNSCPCDescription" xfId="11" xr:uid="{8B91B86D-9C59-407E-B729-1F3FDCFA37CC}"/>
    <cellStyle name="ArticleHeader" xfId="9" xr:uid="{CBDD39CC-30C8-4CAA-9BBD-81A1597B2565}"/>
    <cellStyle name="Normal" xfId="0" builtinId="0"/>
    <cellStyle name="ProcessBody" xfId="2" xr:uid="{F8621848-8765-4777-8B67-59D82AA1E75C}"/>
    <cellStyle name="ProcessBody_address" xfId="7" xr:uid="{27C3190D-6456-4FDA-A505-3912058A1B67}"/>
    <cellStyle name="ProcessBody_datetime" xfId="5" xr:uid="{D02860C7-FD6B-46E9-8EBA-0FE7625FB5AE}"/>
    <cellStyle name="ProcessBody_number" xfId="8" xr:uid="{AD07E459-32BE-4F42-9E6C-BDBC2B4FDDD5}"/>
    <cellStyle name="ProcessHeader" xfId="1" xr:uid="{1D8D49EE-9D35-4090-AFE2-0F02B3340C89}"/>
    <cellStyle name="ProcessHeader_vertical" xfId="3" xr:uid="{B982F2CE-BBB8-4C0F-A2A7-0EF8BAC628B7}"/>
    <cellStyle name="ProcessSubHeader" xfId="4" xr:uid="{D576200B-7A07-4AB8-A63C-D851F3658CA5}"/>
    <cellStyle name="ProcessSubHeader_lugar" xfId="6" xr:uid="{EBF8C043-0D05-4B0F-8C06-88BB0E018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38100</xdr:colOff>
      <xdr:row>3</xdr:row>
      <xdr:rowOff>171450</xdr:rowOff>
    </xdr:to>
    <xdr:pic>
      <xdr:nvPicPr>
        <xdr:cNvPr id="2" name="Picture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1200150</xdr:colOff>
      <xdr:row>5</xdr:row>
      <xdr:rowOff>38100</xdr:rowOff>
    </xdr:to>
    <xdr:pic>
      <xdr:nvPicPr>
        <xdr:cNvPr id="3" name="Picture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133350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133350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133350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133350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133350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038" name="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133350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133350</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133350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133350</xdr:rowOff>
        </xdr:to>
        <xdr:sp macro="" textlink="">
          <xdr:nvSpPr>
            <xdr:cNvPr id="1047" name="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133350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133350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133350</xdr:rowOff>
        </xdr:to>
        <xdr:sp macro="" textlink="">
          <xdr:nvSpPr>
            <xdr:cNvPr id="1050" name="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133350</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133350</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133350</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133350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133350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056" name="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057" name="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133350</xdr:rowOff>
        </xdr:to>
        <xdr:sp macro="" textlink="">
          <xdr:nvSpPr>
            <xdr:cNvPr id="1058" name="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060" name="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133350</xdr:rowOff>
        </xdr:to>
        <xdr:sp macro="" textlink="">
          <xdr:nvSpPr>
            <xdr:cNvPr id="1061" name="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063" name="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133350</xdr:rowOff>
        </xdr:to>
        <xdr:sp macro="" textlink="">
          <xdr:nvSpPr>
            <xdr:cNvPr id="1064" name="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065" name="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066" name="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133350</xdr:rowOff>
        </xdr:to>
        <xdr:sp macro="" textlink="">
          <xdr:nvSpPr>
            <xdr:cNvPr id="1067" name="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133350</xdr:rowOff>
        </xdr:to>
        <xdr:sp macro="" textlink="">
          <xdr:nvSpPr>
            <xdr:cNvPr id="1068" name="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069" name="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070" name="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133350</xdr:rowOff>
        </xdr:to>
        <xdr:sp macro="" textlink="">
          <xdr:nvSpPr>
            <xdr:cNvPr id="1071" name="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133350</xdr:rowOff>
        </xdr:to>
        <xdr:sp macro="" textlink="">
          <xdr:nvSpPr>
            <xdr:cNvPr id="1072" name="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073" name="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074" name="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133350</xdr:rowOff>
        </xdr:to>
        <xdr:sp macro="" textlink="">
          <xdr:nvSpPr>
            <xdr:cNvPr id="1075" name="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133350</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077" name="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078" name="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133350</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133350</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081" name="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082" name="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133350</xdr:rowOff>
        </xdr:to>
        <xdr:sp macro="" textlink="">
          <xdr:nvSpPr>
            <xdr:cNvPr id="1083" name="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084" name="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085" name="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133350</xdr:rowOff>
        </xdr:to>
        <xdr:sp macro="" textlink="">
          <xdr:nvSpPr>
            <xdr:cNvPr id="1086" name="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087" name="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133350</xdr:rowOff>
        </xdr:to>
        <xdr:sp macro="" textlink="">
          <xdr:nvSpPr>
            <xdr:cNvPr id="1089" name="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090" name="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091" name="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133350</xdr:rowOff>
        </xdr:to>
        <xdr:sp macro="" textlink="">
          <xdr:nvSpPr>
            <xdr:cNvPr id="1092" name="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093" name="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094" name="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133350</xdr:rowOff>
        </xdr:to>
        <xdr:sp macro="" textlink="">
          <xdr:nvSpPr>
            <xdr:cNvPr id="1095" name="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096" name="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097" name="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133350</xdr:rowOff>
        </xdr:to>
        <xdr:sp macro="" textlink="">
          <xdr:nvSpPr>
            <xdr:cNvPr id="1098" name="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133350</xdr:rowOff>
        </xdr:to>
        <xdr:sp macro="" textlink="">
          <xdr:nvSpPr>
            <xdr:cNvPr id="1099" name="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133350</xdr:rowOff>
        </xdr:to>
        <xdr:sp macro="" textlink="">
          <xdr:nvSpPr>
            <xdr:cNvPr id="1100" name="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133350</xdr:rowOff>
        </xdr:to>
        <xdr:sp macro="" textlink="">
          <xdr:nvSpPr>
            <xdr:cNvPr id="1101" name="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133350</xdr:rowOff>
        </xdr:to>
        <xdr:sp macro="" textlink="">
          <xdr:nvSpPr>
            <xdr:cNvPr id="1102" name="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133350</xdr:rowOff>
        </xdr:to>
        <xdr:sp macro="" textlink="">
          <xdr:nvSpPr>
            <xdr:cNvPr id="1103" name="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133350</xdr:rowOff>
        </xdr:to>
        <xdr:sp macro="" textlink="">
          <xdr:nvSpPr>
            <xdr:cNvPr id="1104" name="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133350</xdr:rowOff>
        </xdr:to>
        <xdr:sp macro="" textlink="">
          <xdr:nvSpPr>
            <xdr:cNvPr id="1105" name="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133350</xdr:rowOff>
        </xdr:to>
        <xdr:sp macro="" textlink="">
          <xdr:nvSpPr>
            <xdr:cNvPr id="1106" name="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133350</xdr:rowOff>
        </xdr:to>
        <xdr:sp macro="" textlink="">
          <xdr:nvSpPr>
            <xdr:cNvPr id="1107" name="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133350</xdr:rowOff>
        </xdr:to>
        <xdr:sp macro="" textlink="">
          <xdr:nvSpPr>
            <xdr:cNvPr id="1108" name="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109" name="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110" name="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133350</xdr:rowOff>
        </xdr:to>
        <xdr:sp macro="" textlink="">
          <xdr:nvSpPr>
            <xdr:cNvPr id="1111" name="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133350</xdr:rowOff>
        </xdr:to>
        <xdr:sp macro="" textlink="">
          <xdr:nvSpPr>
            <xdr:cNvPr id="1112" name="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133350</xdr:rowOff>
        </xdr:to>
        <xdr:sp macro="" textlink="">
          <xdr:nvSpPr>
            <xdr:cNvPr id="1113" name="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133350</xdr:rowOff>
        </xdr:to>
        <xdr:sp macro="" textlink="">
          <xdr:nvSpPr>
            <xdr:cNvPr id="1114" name="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133350</xdr:rowOff>
        </xdr:to>
        <xdr:sp macro="" textlink="">
          <xdr:nvSpPr>
            <xdr:cNvPr id="1115" name="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133350</xdr:rowOff>
        </xdr:to>
        <xdr:sp macro="" textlink="">
          <xdr:nvSpPr>
            <xdr:cNvPr id="1116" name="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133350</xdr:rowOff>
        </xdr:to>
        <xdr:sp macro="" textlink="">
          <xdr:nvSpPr>
            <xdr:cNvPr id="1117" name="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133350</xdr:rowOff>
        </xdr:to>
        <xdr:sp macro="" textlink="">
          <xdr:nvSpPr>
            <xdr:cNvPr id="1118" name="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133350</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133350</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121" name="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122" name="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133350</xdr:rowOff>
        </xdr:to>
        <xdr:sp macro="" textlink="">
          <xdr:nvSpPr>
            <xdr:cNvPr id="1123" name="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133350</xdr:rowOff>
        </xdr:to>
        <xdr:sp macro="" textlink="">
          <xdr:nvSpPr>
            <xdr:cNvPr id="1124" name="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133350</xdr:rowOff>
        </xdr:to>
        <xdr:sp macro="" textlink="">
          <xdr:nvSpPr>
            <xdr:cNvPr id="1125" name="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133350</xdr:rowOff>
        </xdr:to>
        <xdr:sp macro="" textlink="">
          <xdr:nvSpPr>
            <xdr:cNvPr id="1126" name="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133350</xdr:rowOff>
        </xdr:to>
        <xdr:sp macro="" textlink="">
          <xdr:nvSpPr>
            <xdr:cNvPr id="1127" name="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133350</xdr:rowOff>
        </xdr:to>
        <xdr:sp macro="" textlink="">
          <xdr:nvSpPr>
            <xdr:cNvPr id="1128" name="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133350</xdr:rowOff>
        </xdr:to>
        <xdr:sp macro="" textlink="">
          <xdr:nvSpPr>
            <xdr:cNvPr id="1129" name="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133350</xdr:rowOff>
        </xdr:to>
        <xdr:sp macro="" textlink="">
          <xdr:nvSpPr>
            <xdr:cNvPr id="1130" name="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133350</xdr:rowOff>
        </xdr:to>
        <xdr:sp macro="" textlink="">
          <xdr:nvSpPr>
            <xdr:cNvPr id="1131" name="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133350</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133350</xdr:rowOff>
        </xdr:to>
        <xdr:sp macro="" textlink="">
          <xdr:nvSpPr>
            <xdr:cNvPr id="1133" name="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133350</xdr:rowOff>
        </xdr:to>
        <xdr:sp macro="" textlink="">
          <xdr:nvSpPr>
            <xdr:cNvPr id="1134" name="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133350</xdr:rowOff>
        </xdr:to>
        <xdr:sp macro="" textlink="">
          <xdr:nvSpPr>
            <xdr:cNvPr id="1135" name="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136" name="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137" name="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133350</xdr:rowOff>
        </xdr:to>
        <xdr:sp macro="" textlink="">
          <xdr:nvSpPr>
            <xdr:cNvPr id="1138" name="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133350</xdr:rowOff>
        </xdr:to>
        <xdr:sp macro="" textlink="">
          <xdr:nvSpPr>
            <xdr:cNvPr id="1139" name="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133350</xdr:rowOff>
        </xdr:to>
        <xdr:sp macro="" textlink="">
          <xdr:nvSpPr>
            <xdr:cNvPr id="1140" name="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141" name="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142" name="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133350</xdr:rowOff>
        </xdr:to>
        <xdr:sp macro="" textlink="">
          <xdr:nvSpPr>
            <xdr:cNvPr id="1143" name="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133350</xdr:rowOff>
        </xdr:to>
        <xdr:sp macro="" textlink="">
          <xdr:nvSpPr>
            <xdr:cNvPr id="1144" name="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145" name="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146" name="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133350</xdr:rowOff>
        </xdr:to>
        <xdr:sp macro="" textlink="">
          <xdr:nvSpPr>
            <xdr:cNvPr id="1147" name="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148" name="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149" name="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133350</xdr:rowOff>
        </xdr:to>
        <xdr:sp macro="" textlink="">
          <xdr:nvSpPr>
            <xdr:cNvPr id="1150" name="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151" name="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152" name="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133350</xdr:rowOff>
        </xdr:to>
        <xdr:sp macro="" textlink="">
          <xdr:nvSpPr>
            <xdr:cNvPr id="1153" name="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154" name="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155" name="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133350</xdr:rowOff>
        </xdr:to>
        <xdr:sp macro="" textlink="">
          <xdr:nvSpPr>
            <xdr:cNvPr id="1156" name="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157" name="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158" name="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133350</xdr:rowOff>
        </xdr:to>
        <xdr:sp macro="" textlink="">
          <xdr:nvSpPr>
            <xdr:cNvPr id="1159" name="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160" name="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161" name="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133350</xdr:rowOff>
        </xdr:to>
        <xdr:sp macro="" textlink="">
          <xdr:nvSpPr>
            <xdr:cNvPr id="1162" name="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133350</xdr:rowOff>
        </xdr:to>
        <xdr:sp macro="" textlink="">
          <xdr:nvSpPr>
            <xdr:cNvPr id="1163" name="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133350</xdr:rowOff>
        </xdr:to>
        <xdr:sp macro="" textlink="">
          <xdr:nvSpPr>
            <xdr:cNvPr id="1164" name="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133350</xdr:rowOff>
        </xdr:to>
        <xdr:sp macro="" textlink="">
          <xdr:nvSpPr>
            <xdr:cNvPr id="1165" name="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133350</xdr:rowOff>
        </xdr:to>
        <xdr:sp macro="" textlink="">
          <xdr:nvSpPr>
            <xdr:cNvPr id="1166" name="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133350</xdr:rowOff>
        </xdr:to>
        <xdr:sp macro="" textlink="">
          <xdr:nvSpPr>
            <xdr:cNvPr id="1167" name="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133350</xdr:rowOff>
        </xdr:to>
        <xdr:sp macro="" textlink="">
          <xdr:nvSpPr>
            <xdr:cNvPr id="1168" name="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133350</xdr:rowOff>
        </xdr:to>
        <xdr:sp macro="" textlink="">
          <xdr:nvSpPr>
            <xdr:cNvPr id="1169" name="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133350</xdr:rowOff>
        </xdr:to>
        <xdr:sp macro="" textlink="">
          <xdr:nvSpPr>
            <xdr:cNvPr id="1170" name="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171" name="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172" name="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133350</xdr:rowOff>
        </xdr:to>
        <xdr:sp macro="" textlink="">
          <xdr:nvSpPr>
            <xdr:cNvPr id="1173" name="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133350</xdr:rowOff>
        </xdr:to>
        <xdr:sp macro="" textlink="">
          <xdr:nvSpPr>
            <xdr:cNvPr id="1174" name="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133350</xdr:rowOff>
        </xdr:to>
        <xdr:sp macro="" textlink="">
          <xdr:nvSpPr>
            <xdr:cNvPr id="1175" name="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133350</xdr:rowOff>
        </xdr:to>
        <xdr:sp macro="" textlink="">
          <xdr:nvSpPr>
            <xdr:cNvPr id="1176" name="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133350</xdr:rowOff>
        </xdr:to>
        <xdr:sp macro="" textlink="">
          <xdr:nvSpPr>
            <xdr:cNvPr id="1177" name="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133350</xdr:rowOff>
        </xdr:to>
        <xdr:sp macro="" textlink="">
          <xdr:nvSpPr>
            <xdr:cNvPr id="1178" name="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133350</xdr:rowOff>
        </xdr:to>
        <xdr:sp macro="" textlink="">
          <xdr:nvSpPr>
            <xdr:cNvPr id="1179" name="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133350</xdr:rowOff>
        </xdr:to>
        <xdr:sp macro="" textlink="">
          <xdr:nvSpPr>
            <xdr:cNvPr id="1180" name="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133350</xdr:rowOff>
        </xdr:to>
        <xdr:sp macro="" textlink="">
          <xdr:nvSpPr>
            <xdr:cNvPr id="1181" name="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182" name="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183" name="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133350</xdr:rowOff>
        </xdr:to>
        <xdr:sp macro="" textlink="">
          <xdr:nvSpPr>
            <xdr:cNvPr id="1184" name="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133350</xdr:rowOff>
        </xdr:to>
        <xdr:sp macro="" textlink="">
          <xdr:nvSpPr>
            <xdr:cNvPr id="1185" name="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133350</xdr:rowOff>
        </xdr:to>
        <xdr:sp macro="" textlink="">
          <xdr:nvSpPr>
            <xdr:cNvPr id="1186" name="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133350</xdr:rowOff>
        </xdr:to>
        <xdr:sp macro="" textlink="">
          <xdr:nvSpPr>
            <xdr:cNvPr id="1187" name="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133350</xdr:rowOff>
        </xdr:to>
        <xdr:sp macro="" textlink="">
          <xdr:nvSpPr>
            <xdr:cNvPr id="1188" name="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133350</xdr:rowOff>
        </xdr:to>
        <xdr:sp macro="" textlink="">
          <xdr:nvSpPr>
            <xdr:cNvPr id="1189" name="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133350</xdr:rowOff>
        </xdr:to>
        <xdr:sp macro="" textlink="">
          <xdr:nvSpPr>
            <xdr:cNvPr id="1190" name="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133350</xdr:rowOff>
        </xdr:to>
        <xdr:sp macro="" textlink="">
          <xdr:nvSpPr>
            <xdr:cNvPr id="1191" name="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133350</xdr:rowOff>
        </xdr:to>
        <xdr:sp macro="" textlink="">
          <xdr:nvSpPr>
            <xdr:cNvPr id="1192" name="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193" name="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194" name="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133350</xdr:rowOff>
        </xdr:to>
        <xdr:sp macro="" textlink="">
          <xdr:nvSpPr>
            <xdr:cNvPr id="1195" name="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133350</xdr:rowOff>
        </xdr:to>
        <xdr:sp macro="" textlink="">
          <xdr:nvSpPr>
            <xdr:cNvPr id="1196" name="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133350</xdr:rowOff>
        </xdr:to>
        <xdr:sp macro="" textlink="">
          <xdr:nvSpPr>
            <xdr:cNvPr id="1197" name="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133350</xdr:rowOff>
        </xdr:to>
        <xdr:sp macro="" textlink="">
          <xdr:nvSpPr>
            <xdr:cNvPr id="1198" name="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133350</xdr:rowOff>
        </xdr:to>
        <xdr:sp macro="" textlink="">
          <xdr:nvSpPr>
            <xdr:cNvPr id="1199" name="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133350</xdr:rowOff>
        </xdr:to>
        <xdr:sp macro="" textlink="">
          <xdr:nvSpPr>
            <xdr:cNvPr id="1200" name="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133350</xdr:rowOff>
        </xdr:to>
        <xdr:sp macro="" textlink="">
          <xdr:nvSpPr>
            <xdr:cNvPr id="1201" name="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133350</xdr:rowOff>
        </xdr:to>
        <xdr:sp macro="" textlink="">
          <xdr:nvSpPr>
            <xdr:cNvPr id="1202" name="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133350</xdr:rowOff>
        </xdr:to>
        <xdr:sp macro="" textlink="">
          <xdr:nvSpPr>
            <xdr:cNvPr id="1203" name="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04" name="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05" name="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133350</xdr:rowOff>
        </xdr:to>
        <xdr:sp macro="" textlink="">
          <xdr:nvSpPr>
            <xdr:cNvPr id="1206" name="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133350</xdr:rowOff>
        </xdr:to>
        <xdr:sp macro="" textlink="">
          <xdr:nvSpPr>
            <xdr:cNvPr id="1207" name="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133350</xdr:rowOff>
        </xdr:to>
        <xdr:sp macro="" textlink="">
          <xdr:nvSpPr>
            <xdr:cNvPr id="1208" name="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09" name="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210" name="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133350</xdr:rowOff>
        </xdr:to>
        <xdr:sp macro="" textlink="">
          <xdr:nvSpPr>
            <xdr:cNvPr id="1211" name="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12" name="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13" name="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133350</xdr:rowOff>
        </xdr:to>
        <xdr:sp macro="" textlink="">
          <xdr:nvSpPr>
            <xdr:cNvPr id="1214" name="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133350</xdr:rowOff>
        </xdr:to>
        <xdr:sp macro="" textlink="">
          <xdr:nvSpPr>
            <xdr:cNvPr id="1215" name="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16" name="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17" name="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133350</xdr:rowOff>
        </xdr:to>
        <xdr:sp macro="" textlink="">
          <xdr:nvSpPr>
            <xdr:cNvPr id="1218" name="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19" name="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20" name="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133350</xdr:rowOff>
        </xdr:to>
        <xdr:sp macro="" textlink="">
          <xdr:nvSpPr>
            <xdr:cNvPr id="1221" name="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133350</xdr:rowOff>
        </xdr:to>
        <xdr:sp macro="" textlink="">
          <xdr:nvSpPr>
            <xdr:cNvPr id="1222" name="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133350</xdr:rowOff>
        </xdr:to>
        <xdr:sp macro="" textlink="">
          <xdr:nvSpPr>
            <xdr:cNvPr id="1223" name="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133350</xdr:rowOff>
        </xdr:to>
        <xdr:sp macro="" textlink="">
          <xdr:nvSpPr>
            <xdr:cNvPr id="1224" name="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25" name="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26" name="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133350</xdr:rowOff>
        </xdr:to>
        <xdr:sp macro="" textlink="">
          <xdr:nvSpPr>
            <xdr:cNvPr id="1227" name="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133350</xdr:rowOff>
        </xdr:to>
        <xdr:sp macro="" textlink="">
          <xdr:nvSpPr>
            <xdr:cNvPr id="1228" name="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133350</xdr:rowOff>
        </xdr:to>
        <xdr:sp macro="" textlink="">
          <xdr:nvSpPr>
            <xdr:cNvPr id="1229" name="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30" name="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31" name="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133350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133350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133350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133350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133350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133350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133350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133350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133350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133350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133350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133350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133350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133350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133350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133350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133350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133350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133350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133350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133350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133350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133350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133350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133350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133350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133350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133350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133350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133350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133350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133350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133350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133350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133350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133350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133350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133350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133350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133350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133350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133350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133350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133350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133350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133350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133350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133350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133350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133350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133350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133350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133350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133350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133350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133350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133350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133350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133350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133350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133350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133350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133350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133350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133350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133350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133350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133350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133350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133350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133350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133350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133350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133350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133350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133350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133350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133350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133350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133350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133350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133350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133350</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133350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133350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133350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133350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133350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133350</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133350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133350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133350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133350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133350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133350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133350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133350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133350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133350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133350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133350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133350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133350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133350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133350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133350</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133350</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133350</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133350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133350</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133350</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133350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133350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133350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133350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133350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133350</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133350</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133350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133350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133350</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133350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133350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133350</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133350</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133350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133350</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133350</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133350</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133350</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133350</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133350</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133350</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133350</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133350</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133350</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133350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133350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133350</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133350</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133350</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133350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133350</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133350</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133350</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133350</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133350</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133350</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133350</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133350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133350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133350</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133350</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133350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133350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133350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133350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133350</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133350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133350</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133350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133350</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133350</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133350</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133350</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133350</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133350</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133350</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133350</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133350</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133350</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133350</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133350</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133350</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133350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133350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133350</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133350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133350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133350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133350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133350</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133350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133350</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133350</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133350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133350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133350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133350</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133350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133350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133350</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133350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133350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133350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133350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133350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133350</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133350</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133350</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133350</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133350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133350</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133350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133350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133350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133350</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133350</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133350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133350</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133350</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133350</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133350</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133350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133350</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133350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133350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133350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133350</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133350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133350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133350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133350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133350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133350</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133350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133350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133350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133350</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133350</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133350</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133350</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133350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133350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133350</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133350</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133350</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133350</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133350</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133350</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133350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133350</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133350</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133350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133350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133350</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133350</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133350</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133350</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133350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133350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133350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133350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133350</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133350</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133350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133350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133350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133350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133350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133350</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133350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133350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133350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133350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133350</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133350</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133350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133350</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133350</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133350</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133350</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133350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133350</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133350</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133350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133350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133350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133350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133350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133350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133350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133350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133350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133350</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133350</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133350</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133350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133350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133350</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133350</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133350</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133350</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133350</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133350</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133350</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133350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133350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133350</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133350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133350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133350</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133350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133350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133350</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133350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133350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133350</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133350</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133350</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133350</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133350</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133350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133350</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133350</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133350</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133350</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133350</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133350</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133350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133350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133350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133350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133350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133350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133350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133350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133350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133350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133350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133350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133350</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133350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133350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133350</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133350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133350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133350</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133350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133350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133350</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133350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133350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133350</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133350</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133350</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133350</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133350</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133350</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133350</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133350</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133350</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133350</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133350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133350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133350</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133350</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133350</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133350</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133350</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133350</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133350</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133350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133350</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133350</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133350</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133350</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133350</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133350</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133350</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133350</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133350</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133350</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133350</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133350</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133350</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133350</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133350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133350</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133350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133350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133350</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133350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133350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133350</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133350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133350</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133350</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133350</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133350</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133350</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133350</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133350</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133350</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133350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133350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133350</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133350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133350</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133350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133350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133350</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133350</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133350</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133350</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133350</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133350</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133350</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133350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133350</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133350</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133350</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133350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133350</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133350</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133350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133350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133350</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133350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133350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133350</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133350</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133350</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133350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133350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133350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133350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133350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133350</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133350</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133350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133350</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133350</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133350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133350</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133350</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133350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133350</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133350</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133350</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133350</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133350</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133350</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133350</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133350</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133350</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133350</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133350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133350</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133350</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133350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133350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133350</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133350</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133350</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133350</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133350</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133350</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133350</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133350</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133350</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133350</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133350</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133350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133350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133350</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133350</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133350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133350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133350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133350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133350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133350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133350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133350</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133350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133350</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133350</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133350</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133350</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133350</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133350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133350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133350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133350</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133350</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133350</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133350</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133350</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133350</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133350</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133350</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133350</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133350</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1265</xdr:row>
          <xdr:rowOff>0</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133350</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133350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133350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133350</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133350</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133350</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133350</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133350</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133350</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133350</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133350</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133350</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133350</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133350</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133350</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133350</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133350</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133350</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133350</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1297</xdr:row>
          <xdr:rowOff>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133350</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133350</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133350</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133350</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133350</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133350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1360</xdr:row>
          <xdr:rowOff>0</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133350</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133350</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1382</xdr:row>
          <xdr:rowOff>0</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133350</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133350</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1394</xdr:row>
          <xdr:rowOff>0</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133350</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133350</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133350</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133350</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1411</xdr:row>
          <xdr:rowOff>0</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133350</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133350</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133350</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133350</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133350</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133350</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133350</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133350</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133350</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133350</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133350</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133350</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133350</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133350</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133350</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133350</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133350</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133350</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133350</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133350</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1471</xdr:row>
          <xdr:rowOff>0</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133350</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133350</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133350</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133350</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133350</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1513</xdr:row>
          <xdr:rowOff>0</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133350</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133350</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133350</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133350</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1520</xdr:row>
          <xdr:rowOff>0</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1527</xdr:row>
          <xdr:rowOff>0</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133350</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133350</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133350</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133350</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133350</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133350</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133350</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133350</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133350</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133350</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133350</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133350</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133350</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133350</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133350</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133350</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133350</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133350</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133350</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133350</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133350</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133350</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133350</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133350</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133350</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133350</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133350</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133350</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133350</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133350</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133350</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133350</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133350</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1603</xdr:row>
          <xdr:rowOff>0</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1610</xdr:row>
          <xdr:rowOff>0</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133350</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1614</xdr:row>
          <xdr:rowOff>0</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1621</xdr:row>
          <xdr:rowOff>0</xdr:rowOff>
        </xdr:to>
        <xdr:sp macro="" textlink="">
          <xdr:nvSpPr>
            <xdr:cNvPr id="1921" name="Button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133350</xdr:rowOff>
        </xdr:to>
        <xdr:sp macro="" textlink="">
          <xdr:nvSpPr>
            <xdr:cNvPr id="1922" name="Button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1923" name="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1632</xdr:row>
          <xdr:rowOff>0</xdr:rowOff>
        </xdr:to>
        <xdr:sp macro="" textlink="">
          <xdr:nvSpPr>
            <xdr:cNvPr id="1924" name="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133350</xdr:rowOff>
        </xdr:to>
        <xdr:sp macro="" textlink="">
          <xdr:nvSpPr>
            <xdr:cNvPr id="1925" name="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1636</xdr:row>
          <xdr:rowOff>0</xdr:rowOff>
        </xdr:to>
        <xdr:sp macro="" textlink="">
          <xdr:nvSpPr>
            <xdr:cNvPr id="1926" name="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1643</xdr:row>
          <xdr:rowOff>0</xdr:rowOff>
        </xdr:to>
        <xdr:sp macro="" textlink="">
          <xdr:nvSpPr>
            <xdr:cNvPr id="1927" name="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133350</xdr:rowOff>
        </xdr:to>
        <xdr:sp macro="" textlink="">
          <xdr:nvSpPr>
            <xdr:cNvPr id="1928" name="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1929" name="Button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1654</xdr:row>
          <xdr:rowOff>0</xdr:rowOff>
        </xdr:to>
        <xdr:sp macro="" textlink="">
          <xdr:nvSpPr>
            <xdr:cNvPr id="1930" name="Button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133350</xdr:rowOff>
        </xdr:to>
        <xdr:sp macro="" textlink="">
          <xdr:nvSpPr>
            <xdr:cNvPr id="1931" name="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1658</xdr:row>
          <xdr:rowOff>0</xdr:rowOff>
        </xdr:to>
        <xdr:sp macro="" textlink="">
          <xdr:nvSpPr>
            <xdr:cNvPr id="1932" name="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1665</xdr:row>
          <xdr:rowOff>0</xdr:rowOff>
        </xdr:to>
        <xdr:sp macro="" textlink="">
          <xdr:nvSpPr>
            <xdr:cNvPr id="1933" name="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133350</xdr:rowOff>
        </xdr:to>
        <xdr:sp macro="" textlink="">
          <xdr:nvSpPr>
            <xdr:cNvPr id="1934" name="Button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133350</xdr:rowOff>
        </xdr:to>
        <xdr:sp macro="" textlink="">
          <xdr:nvSpPr>
            <xdr:cNvPr id="1935" name="Button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133350</xdr:rowOff>
        </xdr:to>
        <xdr:sp macro="" textlink="">
          <xdr:nvSpPr>
            <xdr:cNvPr id="1936" name="Button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133350</xdr:rowOff>
        </xdr:to>
        <xdr:sp macro="" textlink="">
          <xdr:nvSpPr>
            <xdr:cNvPr id="1937" name="Button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133350</xdr:rowOff>
        </xdr:to>
        <xdr:sp macro="" textlink="">
          <xdr:nvSpPr>
            <xdr:cNvPr id="1938" name="Button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1939" name="Button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1680</xdr:row>
          <xdr:rowOff>0</xdr:rowOff>
        </xdr:to>
        <xdr:sp macro="" textlink="">
          <xdr:nvSpPr>
            <xdr:cNvPr id="1940" name="Button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133350</xdr:rowOff>
        </xdr:to>
        <xdr:sp macro="" textlink="">
          <xdr:nvSpPr>
            <xdr:cNvPr id="1941" name="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133350</xdr:rowOff>
        </xdr:to>
        <xdr:sp macro="" textlink="">
          <xdr:nvSpPr>
            <xdr:cNvPr id="1942" name="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1943" name="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1944" name="Button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133350</xdr:rowOff>
        </xdr:to>
        <xdr:sp macro="" textlink="">
          <xdr:nvSpPr>
            <xdr:cNvPr id="1945" name="Button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133350</xdr:rowOff>
        </xdr:to>
        <xdr:sp macro="" textlink="">
          <xdr:nvSpPr>
            <xdr:cNvPr id="1946" name="Button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1697</xdr:row>
          <xdr:rowOff>0</xdr:rowOff>
        </xdr:to>
        <xdr:sp macro="" textlink="">
          <xdr:nvSpPr>
            <xdr:cNvPr id="1947" name="Button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1948" name="Button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133350</xdr:rowOff>
        </xdr:to>
        <xdr:sp macro="" textlink="">
          <xdr:nvSpPr>
            <xdr:cNvPr id="1949" name="Button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133350</xdr:rowOff>
        </xdr:to>
        <xdr:sp macro="" textlink="">
          <xdr:nvSpPr>
            <xdr:cNvPr id="1950" name="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133350</xdr:rowOff>
        </xdr:to>
        <xdr:sp macro="" textlink="">
          <xdr:nvSpPr>
            <xdr:cNvPr id="1951" name="Button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1710</xdr:row>
          <xdr:rowOff>0</xdr:rowOff>
        </xdr:to>
        <xdr:sp macro="" textlink="">
          <xdr:nvSpPr>
            <xdr:cNvPr id="1952" name="Button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1953" name="Button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133350</xdr:rowOff>
        </xdr:to>
        <xdr:sp macro="" textlink="">
          <xdr:nvSpPr>
            <xdr:cNvPr id="1954" name="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133350</xdr:rowOff>
        </xdr:to>
        <xdr:sp macro="" textlink="">
          <xdr:nvSpPr>
            <xdr:cNvPr id="1955" name="Button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1956" name="Button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1729</xdr:row>
          <xdr:rowOff>0</xdr:rowOff>
        </xdr:to>
        <xdr:sp macro="" textlink="">
          <xdr:nvSpPr>
            <xdr:cNvPr id="1957" name="Button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133350</xdr:rowOff>
        </xdr:to>
        <xdr:sp macro="" textlink="">
          <xdr:nvSpPr>
            <xdr:cNvPr id="1958" name="Button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133350</xdr:rowOff>
        </xdr:to>
        <xdr:sp macro="" textlink="">
          <xdr:nvSpPr>
            <xdr:cNvPr id="1959" name="Button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1734</xdr:row>
          <xdr:rowOff>0</xdr:rowOff>
        </xdr:to>
        <xdr:sp macro="" textlink="">
          <xdr:nvSpPr>
            <xdr:cNvPr id="1960" name="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1741</xdr:row>
          <xdr:rowOff>0</xdr:rowOff>
        </xdr:to>
        <xdr:sp macro="" textlink="">
          <xdr:nvSpPr>
            <xdr:cNvPr id="1961" name="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133350</xdr:rowOff>
        </xdr:to>
        <xdr:sp macro="" textlink="">
          <xdr:nvSpPr>
            <xdr:cNvPr id="1962" name="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1745</xdr:row>
          <xdr:rowOff>0</xdr:rowOff>
        </xdr:to>
        <xdr:sp macro="" textlink="">
          <xdr:nvSpPr>
            <xdr:cNvPr id="1963" name="Button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1752</xdr:row>
          <xdr:rowOff>0</xdr:rowOff>
        </xdr:to>
        <xdr:sp macro="" textlink="">
          <xdr:nvSpPr>
            <xdr:cNvPr id="1964" name="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133350</xdr:rowOff>
        </xdr:to>
        <xdr:sp macro="" textlink="">
          <xdr:nvSpPr>
            <xdr:cNvPr id="1965" name="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133350</xdr:rowOff>
        </xdr:to>
        <xdr:sp macro="" textlink="">
          <xdr:nvSpPr>
            <xdr:cNvPr id="1966" name="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133350</xdr:rowOff>
        </xdr:to>
        <xdr:sp macro="" textlink="">
          <xdr:nvSpPr>
            <xdr:cNvPr id="1967" name="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133350</xdr:rowOff>
        </xdr:to>
        <xdr:sp macro="" textlink="">
          <xdr:nvSpPr>
            <xdr:cNvPr id="1968" name="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133350</xdr:rowOff>
        </xdr:to>
        <xdr:sp macro="" textlink="">
          <xdr:nvSpPr>
            <xdr:cNvPr id="1969" name="Button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133350</xdr:rowOff>
        </xdr:to>
        <xdr:sp macro="" textlink="">
          <xdr:nvSpPr>
            <xdr:cNvPr id="1970" name="Button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133350</xdr:rowOff>
        </xdr:to>
        <xdr:sp macro="" textlink="">
          <xdr:nvSpPr>
            <xdr:cNvPr id="1971" name="Button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133350</xdr:rowOff>
        </xdr:to>
        <xdr:sp macro="" textlink="">
          <xdr:nvSpPr>
            <xdr:cNvPr id="1972" name="Button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133350</xdr:rowOff>
        </xdr:to>
        <xdr:sp macro="" textlink="">
          <xdr:nvSpPr>
            <xdr:cNvPr id="1973" name="Button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133350</xdr:rowOff>
        </xdr:to>
        <xdr:sp macro="" textlink="">
          <xdr:nvSpPr>
            <xdr:cNvPr id="1974" name="Button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133350</xdr:rowOff>
        </xdr:to>
        <xdr:sp macro="" textlink="">
          <xdr:nvSpPr>
            <xdr:cNvPr id="1975" name="Button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133350</xdr:rowOff>
        </xdr:to>
        <xdr:sp macro="" textlink="">
          <xdr:nvSpPr>
            <xdr:cNvPr id="1976" name="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1767</xdr:row>
          <xdr:rowOff>0</xdr:rowOff>
        </xdr:to>
        <xdr:sp macro="" textlink="">
          <xdr:nvSpPr>
            <xdr:cNvPr id="1977" name="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1978" name="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133350</xdr:rowOff>
        </xdr:to>
        <xdr:sp macro="" textlink="">
          <xdr:nvSpPr>
            <xdr:cNvPr id="1979" name="Button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133350</xdr:rowOff>
        </xdr:to>
        <xdr:sp macro="" textlink="">
          <xdr:nvSpPr>
            <xdr:cNvPr id="1980" name="Button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133350</xdr:rowOff>
        </xdr:to>
        <xdr:sp macro="" textlink="">
          <xdr:nvSpPr>
            <xdr:cNvPr id="1981" name="Button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133350</xdr:rowOff>
        </xdr:to>
        <xdr:sp macro="" textlink="">
          <xdr:nvSpPr>
            <xdr:cNvPr id="1982" name="Button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133350</xdr:rowOff>
        </xdr:to>
        <xdr:sp macro="" textlink="">
          <xdr:nvSpPr>
            <xdr:cNvPr id="1983" name="Button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133350</xdr:rowOff>
        </xdr:to>
        <xdr:sp macro="" textlink="">
          <xdr:nvSpPr>
            <xdr:cNvPr id="1984" name="Button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133350</xdr:rowOff>
        </xdr:to>
        <xdr:sp macro="" textlink="">
          <xdr:nvSpPr>
            <xdr:cNvPr id="1985" name="Button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133350</xdr:rowOff>
        </xdr:to>
        <xdr:sp macro="" textlink="">
          <xdr:nvSpPr>
            <xdr:cNvPr id="1986" name="Button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133350</xdr:rowOff>
        </xdr:to>
        <xdr:sp macro="" textlink="">
          <xdr:nvSpPr>
            <xdr:cNvPr id="1987" name="Button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133350</xdr:rowOff>
        </xdr:to>
        <xdr:sp macro="" textlink="">
          <xdr:nvSpPr>
            <xdr:cNvPr id="1988" name="Button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133350</xdr:rowOff>
        </xdr:to>
        <xdr:sp macro="" textlink="">
          <xdr:nvSpPr>
            <xdr:cNvPr id="1989" name="Button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1788</xdr:row>
          <xdr:rowOff>0</xdr:rowOff>
        </xdr:to>
        <xdr:sp macro="" textlink="">
          <xdr:nvSpPr>
            <xdr:cNvPr id="1990" name="Button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1795</xdr:row>
          <xdr:rowOff>0</xdr:rowOff>
        </xdr:to>
        <xdr:sp macro="" textlink="">
          <xdr:nvSpPr>
            <xdr:cNvPr id="1991" name="Button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133350</xdr:rowOff>
        </xdr:to>
        <xdr:sp macro="" textlink="">
          <xdr:nvSpPr>
            <xdr:cNvPr id="1992" name="Button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133350</xdr:rowOff>
        </xdr:to>
        <xdr:sp macro="" textlink="">
          <xdr:nvSpPr>
            <xdr:cNvPr id="1993" name="Button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133350</xdr:rowOff>
        </xdr:to>
        <xdr:sp macro="" textlink="">
          <xdr:nvSpPr>
            <xdr:cNvPr id="1994" name="Button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133350</xdr:rowOff>
        </xdr:to>
        <xdr:sp macro="" textlink="">
          <xdr:nvSpPr>
            <xdr:cNvPr id="1995" name="Button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133350</xdr:rowOff>
        </xdr:to>
        <xdr:sp macro="" textlink="">
          <xdr:nvSpPr>
            <xdr:cNvPr id="1996" name="Button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133350</xdr:rowOff>
        </xdr:to>
        <xdr:sp macro="" textlink="">
          <xdr:nvSpPr>
            <xdr:cNvPr id="1997" name="Button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133350</xdr:rowOff>
        </xdr:to>
        <xdr:sp macro="" textlink="">
          <xdr:nvSpPr>
            <xdr:cNvPr id="1998" name="Button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133350</xdr:rowOff>
        </xdr:to>
        <xdr:sp macro="" textlink="">
          <xdr:nvSpPr>
            <xdr:cNvPr id="1999" name="Button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133350</xdr:rowOff>
        </xdr:to>
        <xdr:sp macro="" textlink="">
          <xdr:nvSpPr>
            <xdr:cNvPr id="2000" name="Button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133350</xdr:rowOff>
        </xdr:to>
        <xdr:sp macro="" textlink="">
          <xdr:nvSpPr>
            <xdr:cNvPr id="2001" name="Button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133350</xdr:rowOff>
        </xdr:to>
        <xdr:sp macro="" textlink="">
          <xdr:nvSpPr>
            <xdr:cNvPr id="2002" name="Button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2003" name="Button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2004" name="Button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133350</xdr:rowOff>
        </xdr:to>
        <xdr:sp macro="" textlink="">
          <xdr:nvSpPr>
            <xdr:cNvPr id="2005" name="Button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133350</xdr:rowOff>
        </xdr:to>
        <xdr:sp macro="" textlink="">
          <xdr:nvSpPr>
            <xdr:cNvPr id="2006" name="Button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133350</xdr:rowOff>
        </xdr:to>
        <xdr:sp macro="" textlink="">
          <xdr:nvSpPr>
            <xdr:cNvPr id="2007" name="Button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133350</xdr:rowOff>
        </xdr:to>
        <xdr:sp macro="" textlink="">
          <xdr:nvSpPr>
            <xdr:cNvPr id="2008" name="Button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133350</xdr:rowOff>
        </xdr:to>
        <xdr:sp macro="" textlink="">
          <xdr:nvSpPr>
            <xdr:cNvPr id="2009" name="Button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133350</xdr:rowOff>
        </xdr:to>
        <xdr:sp macro="" textlink="">
          <xdr:nvSpPr>
            <xdr:cNvPr id="2010" name="Button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133350</xdr:rowOff>
        </xdr:to>
        <xdr:sp macro="" textlink="">
          <xdr:nvSpPr>
            <xdr:cNvPr id="2011" name="Button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133350</xdr:rowOff>
        </xdr:to>
        <xdr:sp macro="" textlink="">
          <xdr:nvSpPr>
            <xdr:cNvPr id="2012" name="Button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133350</xdr:rowOff>
        </xdr:to>
        <xdr:sp macro="" textlink="">
          <xdr:nvSpPr>
            <xdr:cNvPr id="2013" name="Button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133350</xdr:rowOff>
        </xdr:to>
        <xdr:sp macro="" textlink="">
          <xdr:nvSpPr>
            <xdr:cNvPr id="2014" name="Button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133350</xdr:rowOff>
        </xdr:to>
        <xdr:sp macro="" textlink="">
          <xdr:nvSpPr>
            <xdr:cNvPr id="2015" name="Button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2016" name="Button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2017" name="Button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133350</xdr:rowOff>
        </xdr:to>
        <xdr:sp macro="" textlink="">
          <xdr:nvSpPr>
            <xdr:cNvPr id="2018" name="Button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133350</xdr:rowOff>
        </xdr:to>
        <xdr:sp macro="" textlink="">
          <xdr:nvSpPr>
            <xdr:cNvPr id="2019" name="Button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2020" name="Button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1849</xdr:row>
          <xdr:rowOff>0</xdr:rowOff>
        </xdr:to>
        <xdr:sp macro="" textlink="">
          <xdr:nvSpPr>
            <xdr:cNvPr id="2021" name="Button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133350</xdr:rowOff>
        </xdr:to>
        <xdr:sp macro="" textlink="">
          <xdr:nvSpPr>
            <xdr:cNvPr id="2022" name="Button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2023" name="Button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2024" name="Button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133350</xdr:rowOff>
        </xdr:to>
        <xdr:sp macro="" textlink="">
          <xdr:nvSpPr>
            <xdr:cNvPr id="2025" name="Button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2026" name="Button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2027" name="Button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133350</xdr:rowOff>
        </xdr:to>
        <xdr:sp macro="" textlink="">
          <xdr:nvSpPr>
            <xdr:cNvPr id="2028" name="Button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2029" name="Button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2030" name="Button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133350</xdr:rowOff>
        </xdr:to>
        <xdr:sp macro="" textlink="">
          <xdr:nvSpPr>
            <xdr:cNvPr id="2031" name="Button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2032" name="Button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1893</xdr:row>
          <xdr:rowOff>0</xdr:rowOff>
        </xdr:to>
        <xdr:sp macro="" textlink="">
          <xdr:nvSpPr>
            <xdr:cNvPr id="2033" name="Button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133350</xdr:rowOff>
        </xdr:to>
        <xdr:sp macro="" textlink="">
          <xdr:nvSpPr>
            <xdr:cNvPr id="2034" name="Button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2035" name="Button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2036" name="Button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133350</xdr:rowOff>
        </xdr:to>
        <xdr:sp macro="" textlink="">
          <xdr:nvSpPr>
            <xdr:cNvPr id="2037" name="Button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2038" name="Button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2039" name="Button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133350</xdr:rowOff>
        </xdr:to>
        <xdr:sp macro="" textlink="">
          <xdr:nvSpPr>
            <xdr:cNvPr id="2040" name="Button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1920</xdr:row>
          <xdr:rowOff>0</xdr:rowOff>
        </xdr:from>
        <xdr:to>
          <xdr:col>1</xdr:col>
          <xdr:colOff>361950</xdr:colOff>
          <xdr:row>1921</xdr:row>
          <xdr:rowOff>133350</xdr:rowOff>
        </xdr:to>
        <xdr:sp macro="" textlink="">
          <xdr:nvSpPr>
            <xdr:cNvPr id="2041" name="Button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bencosme/Downloads/PACC_2022_CNZFE%20(4)%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 val="PACC_2022_CNZFE (4) (1)"/>
    </sheetNames>
    <definedNames>
      <definedName name="Sheet1.CopyNewProcedure"/>
      <definedName name="Sheet1.deleteProcedure"/>
      <definedName name="Sheet1.deleteRow"/>
      <definedName name="Sheet1.InsertNewTableRow"/>
    </defined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40445-2779-44EC-B911-B56F4E750349}" name="Table82" displayName="Table82" ref="A1478:F1479" totalsRowShown="0">
  <tableColumns count="6">
    <tableColumn id="1" xr3:uid="{0DFBA051-A7B9-4E14-B0DF-339893B74CBE}" name="CÓDIGO CATÁLOGO"/>
    <tableColumn id="2" xr3:uid="{4BD09753-DA0B-4A0E-9B69-8B0D8287BFC0}" name="ARTÍCULO">
      <calculatedColumnFormula>IFERROR(INDEX(UNSPSCDes,MATCH(INDIRECT(ADDRESS(ROW(),COLUMN()-1,4)),UNSPSCCode,0)),IF(INDIRECT(ADDRESS(ROW(),COLUMN()-1,4))="72102103","Servicios de exterminación o fumigación",""))</calculatedColumnFormula>
    </tableColumn>
    <tableColumn id="3" xr3:uid="{C43656ED-A217-401E-9BFA-17D48CBE19EA}" name="UNIDAD DE MEDIDA">
      <calculatedColumnFormula>IFERROR(VLOOKUP("UD",'[1]Informacion '!P:Q,2,FALSE),"")</calculatedColumnFormula>
    </tableColumn>
    <tableColumn id="4" xr3:uid="{DF9B423E-1EEC-407D-9F82-D41A8CB43136}" name="CANTIDAD TOTAL ESTIMADA"/>
    <tableColumn id="5" xr3:uid="{AC623D3C-6055-4C41-ADD5-0609A563AF77}" name="PRECIO UNITARIO ESTIMADO"/>
    <tableColumn id="6" xr3:uid="{367D8A2A-B9C7-4B3F-A9EE-173F35CF372E}"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242CFD-3771-4B72-863C-3D4E4B1554E8}" name="Table40" displayName="Table40" ref="A504:F508" totalsRowShown="0">
  <tableColumns count="6">
    <tableColumn id="1" xr3:uid="{FF43D9BE-E429-4FBC-8EDC-5AEF1AAA4154}" name="CÓDIGO CATÁLOGO"/>
    <tableColumn id="2" xr3:uid="{6CBB4F39-165F-47F6-B85F-877FB1270F92}" name="ARTÍCULO"/>
    <tableColumn id="3" xr3:uid="{C59E5C91-FBE2-4A04-A78E-5AF770D7CE29}" name="UNIDAD DE MEDIDA">
      <calculatedColumnFormula>IFERROR(VLOOKUP("UD",'[1]Informacion '!P:Q,2,FALSE),"")</calculatedColumnFormula>
    </tableColumn>
    <tableColumn id="4" xr3:uid="{8DDFFB95-CFB7-4A0F-89D6-BCEB05FAD8BF}" name="CANTIDAD TOTAL ESTIMADA"/>
    <tableColumn id="5" xr3:uid="{BCA14D9B-8DBB-4ED2-82C1-2ED89E8B56B4}" name="PRECIO UNITARIO ESTIMADO"/>
    <tableColumn id="6" xr3:uid="{8AD75FEE-73BD-4107-8EFE-5B41EB9F0459}"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FCE402A-BF58-4BCB-8BF9-26A3380F42E5}" name="Table59" displayName="Table59" ref="A1050:F1078" totalsRowShown="0">
  <tableColumns count="6">
    <tableColumn id="1" xr3:uid="{ADC24D67-4FE8-4898-BC91-D89C9BB44996}" name="CÓDIGO CATÁLOGO"/>
    <tableColumn id="2" xr3:uid="{325C67BC-8AF3-44FB-973A-BC1A1A67FE98}" name="ARTÍCULO"/>
    <tableColumn id="3" xr3:uid="{2F650A91-C4DF-4938-BE40-0D42C7280827}" name="UNIDAD DE MEDIDA"/>
    <tableColumn id="4" xr3:uid="{9B42C666-78DD-471D-8C65-AC2C5131A873}" name="CANTIDAD TOTAL ESTIMADA"/>
    <tableColumn id="5" xr3:uid="{F13DD710-A16A-4C86-8032-63712DBEFF1D}" name="PRECIO UNITARIO ESTIMADO"/>
    <tableColumn id="6" xr3:uid="{360D977A-222C-411C-BADB-119B3791A629}"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346870AC-C88C-4BF8-A452-D9DE1C9D1226}" name="Table20" displayName="Table20" ref="A215:F216" totalsRowShown="0">
  <tableColumns count="6">
    <tableColumn id="1" xr3:uid="{C7D0D9BE-9E27-4494-81B0-E0FC596A1515}" name="CÓDIGO CATÁLOGO"/>
    <tableColumn id="2" xr3:uid="{22E1C0A7-C6BE-4B9D-8158-41DCA6439FCC}" name="ARTÍCULO">
      <calculatedColumnFormula>IFERROR(INDEX(UNSPSCDes,MATCH(INDIRECT(ADDRESS(ROW(),COLUMN()-1,4)),UNSPSCCode,0)),IF(INDIRECT(ADDRESS(ROW(),COLUMN()-1,4))="26111701","Baterías recargables",""))</calculatedColumnFormula>
    </tableColumn>
    <tableColumn id="3" xr3:uid="{24BF8BA6-9F33-4F37-A470-D4CFB7E15391}" name="UNIDAD DE MEDIDA">
      <calculatedColumnFormula>IFERROR(VLOOKUP("UD",'[1]Informacion '!P:Q,2,FALSE),"")</calculatedColumnFormula>
    </tableColumn>
    <tableColumn id="4" xr3:uid="{0E7273ED-CF7C-4984-BF8E-BCEEF15975A5}" name="CANTIDAD TOTAL ESTIMADA"/>
    <tableColumn id="5" xr3:uid="{96AF2A9F-DA86-4056-B8A9-6DBB759F4457}" name="PRECIO UNITARIO ESTIMADO"/>
    <tableColumn id="6" xr3:uid="{690CA66C-9A41-4005-9824-04A61C6504E1}"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8CC53B7A-7FE0-4D17-91F2-D8744E851C5B}" name="Table74" displayName="Table74" ref="A1371:F1372" totalsRowShown="0">
  <tableColumns count="6">
    <tableColumn id="1" xr3:uid="{01F79996-D351-4812-A64F-D8EFB4D2443F}" name="CÓDIGO CATÁLOGO"/>
    <tableColumn id="2" xr3:uid="{6404A688-78B8-41AC-A560-2F1BD29CF516}" name="ARTÍCULO">
      <calculatedColumnFormula>IFERROR(INDEX(UNSPSCDes,MATCH(INDIRECT(ADDRESS(ROW(),COLUMN()-1,4)),UNSPSCCode,0)),IF(INDIRECT(ADDRESS(ROW(),COLUMN()-1,4))="86101705","Capacitación administrativa",""))</calculatedColumnFormula>
    </tableColumn>
    <tableColumn id="3" xr3:uid="{DC70E9DA-711F-4609-A335-222BBCF276EA}" name="UNIDAD DE MEDIDA">
      <calculatedColumnFormula>IFERROR(VLOOKUP("UD",'[1]Informacion '!P:Q,2,FALSE),"")</calculatedColumnFormula>
    </tableColumn>
    <tableColumn id="4" xr3:uid="{0F906DA3-2FE3-48BC-82E3-62C6CEB311DC}" name="CANTIDAD TOTAL ESTIMADA"/>
    <tableColumn id="5" xr3:uid="{55F28746-27B4-4493-B42B-7E7C12199DBF}" name="PRECIO UNITARIO ESTIMADO"/>
    <tableColumn id="6" xr3:uid="{70FEC0D4-3D17-4339-B560-7EC7334BF4AA}"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62DDBC12-3D27-4F7C-8733-A01FE6878349}" name="Table32" displayName="Table32" ref="A381:F390" totalsRowShown="0">
  <tableColumns count="6">
    <tableColumn id="1" xr3:uid="{A21ABC81-2070-4F7C-85AB-CD097C56E962}" name="CÓDIGO CATÁLOGO"/>
    <tableColumn id="2" xr3:uid="{C2E4A132-5725-4075-92A8-3D7E4B4F9A7B}" name="ARTÍCULO">
      <calculatedColumnFormula>IFERROR(INDEX(UNSPSCDes,MATCH(INDIRECT(ADDRESS(ROW(),COLUMN()-1,4)),UNSPSCCode,0)),IF(INDIRECT(ADDRESS(ROW(),COLUMN()-1,4))="44103103","Tóner para impresoras o fax",""))</calculatedColumnFormula>
    </tableColumn>
    <tableColumn id="3" xr3:uid="{FE9A1726-BEF6-4E5A-9366-E64ACF2F3B4C}" name="UNIDAD DE MEDIDA">
      <calculatedColumnFormula>IFERROR(VLOOKUP("UD",'[1]Informacion '!P:Q,2,FALSE),"")</calculatedColumnFormula>
    </tableColumn>
    <tableColumn id="4" xr3:uid="{37917D1C-C424-4FF7-9EFC-6AA1B9120175}" name="CANTIDAD TOTAL ESTIMADA"/>
    <tableColumn id="5" xr3:uid="{46FD21CE-F8C6-43BB-8EEB-14D63F16E3F5}" name="PRECIO UNITARIO ESTIMADO"/>
    <tableColumn id="6" xr3:uid="{427A689C-DBC1-4448-99BC-A3419D7D1F1A}"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DD54DC7-4DA2-4ECF-9084-1704E1D79DB8}" name="Table91" displayName="Table91" ref="A1610:F1611" totalsRowShown="0">
  <tableColumns count="6">
    <tableColumn id="1" xr3:uid="{A1FD7147-FA81-423B-AA6D-3C3A48B6C6F3}" name="CÓDIGO CATÁLOGO"/>
    <tableColumn id="2" xr3:uid="{0BA7260B-BF9E-422F-8539-1881641004DB}" name="ARTÍCULO">
      <calculatedColumnFormula>IFERROR(INDEX(UNSPSCDes,MATCH(INDIRECT(ADDRESS(ROW(),COLUMN()-1,4)),UNSPSCCode,0)),IF(INDIRECT(ADDRESS(ROW(),COLUMN()-1,4))="82121505","Impresión promocional o publicitaria",""))</calculatedColumnFormula>
    </tableColumn>
    <tableColumn id="3" xr3:uid="{7E38FC10-2A1C-45B4-BD53-4415445FBCDA}" name="UNIDAD DE MEDIDA">
      <calculatedColumnFormula>IFERROR(VLOOKUP("RESMA",'[1]Informacion '!P:Q,2,FALSE),"")</calculatedColumnFormula>
    </tableColumn>
    <tableColumn id="4" xr3:uid="{C231A386-19DC-40CD-9372-7BA4E3180911}" name="CANTIDAD TOTAL ESTIMADA"/>
    <tableColumn id="5" xr3:uid="{AC469C64-6FE9-4076-ABC6-7F1C4745FADB}" name="PRECIO UNITARIO ESTIMADO"/>
    <tableColumn id="6" xr3:uid="{54E8C3A0-00A9-460D-8365-463C24485FDC}"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49A5CDF7-1C12-4FE4-963E-A9C811A14FC1}" name="Table112" displayName="Table112" ref="A1893:F1894" totalsRowShown="0">
  <tableColumns count="6">
    <tableColumn id="1" xr3:uid="{13F3E007-FFE8-4436-BE0F-1213D28335AD}" name="CÓDIGO CATÁLOGO"/>
    <tableColumn id="2" xr3:uid="{C12EC719-C87C-4873-A191-8C3EEED7F25A}" name="ARTÍCULO">
      <calculatedColumnFormula>IFERROR(INDEX(UNSPSCDes,MATCH(INDIRECT(ADDRESS(ROW(),COLUMN()-1,4)),UNSPSCCode,0)),IF(INDIRECT(ADDRESS(ROW(),COLUMN()-1,4))="82121903","Encuadernación con pegante",""))</calculatedColumnFormula>
    </tableColumn>
    <tableColumn id="3" xr3:uid="{4D2CAFE9-2533-4AFF-A204-834D38301DCA}" name="UNIDAD DE MEDIDA">
      <calculatedColumnFormula>IFERROR(VLOOKUP("UD",'[1]Informacion '!P:Q,2,FALSE),"")</calculatedColumnFormula>
    </tableColumn>
    <tableColumn id="4" xr3:uid="{A4F5F671-C367-4A7D-938B-EDFF51CC857B}" name="CANTIDAD TOTAL ESTIMADA"/>
    <tableColumn id="5" xr3:uid="{7BD21637-7F6B-43B4-B0C6-7DA642029F7A}" name="PRECIO UNITARIO ESTIMADO"/>
    <tableColumn id="6" xr3:uid="{029C1EBB-7F52-4A19-BCB8-0D87B6B927EE}"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C9904C9C-69F6-4D21-89F2-029E2EA69D48}" name="Table13" displayName="Table13" ref="A134:F136" totalsRowShown="0">
  <tableColumns count="6">
    <tableColumn id="1" xr3:uid="{D496320A-42BD-4086-B6A9-0F4CAD1430F8}" name="CÓDIGO CATÁLOGO"/>
    <tableColumn id="2" xr3:uid="{0B9C66E8-DE8F-4577-BB5F-DF189B93EBFF}" name="ARTÍCULO"/>
    <tableColumn id="3" xr3:uid="{7D5E3285-84CD-40C6-9E55-AE52D7A0F106}" name="UNIDAD DE MEDIDA">
      <calculatedColumnFormula>IFERROR(VLOOKUP("UD",'[1]Informacion '!P:Q,2,FALSE),"")</calculatedColumnFormula>
    </tableColumn>
    <tableColumn id="4" xr3:uid="{11CBF5A8-B649-409F-9239-483445B40C36}" name="CANTIDAD TOTAL ESTIMADA"/>
    <tableColumn id="5" xr3:uid="{7F262C35-AED0-412F-A8F6-5D671A5DF434}" name="PRECIO UNITARIO ESTIMADO"/>
    <tableColumn id="6" xr3:uid="{FBD98306-92A7-4025-9010-3AB614A342BE}"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3EC35AA2-F19F-4C6C-81B1-8C646479297A}" name="Table76" displayName="Table76" ref="A1394:F1395" totalsRowShown="0">
  <tableColumns count="6">
    <tableColumn id="1" xr3:uid="{7FED87E7-64AF-4398-90D3-F3A103D64231}" name="CÓDIGO CATÁLOGO"/>
    <tableColumn id="2" xr3:uid="{1ACE53E9-38AD-42ED-8B1C-D46168C0B19C}" name="ARTÍCULO">
      <calculatedColumnFormula>IFERROR(INDEX(UNSPSCDes,MATCH(INDIRECT(ADDRESS(ROW(),COLUMN()-1,4)),UNSPSCCode,0)),IF(INDIRECT(ADDRESS(ROW(),COLUMN()-1,4))="80141607","Gestión de eventos",""))</calculatedColumnFormula>
    </tableColumn>
    <tableColumn id="3" xr3:uid="{A7E000C4-6E80-4B40-8050-A67F85139E31}" name="UNIDAD DE MEDIDA">
      <calculatedColumnFormula>IFERROR(VLOOKUP("UD",'[1]Informacion '!P:Q,2,FALSE),"")</calculatedColumnFormula>
    </tableColumn>
    <tableColumn id="4" xr3:uid="{49806A4B-7D48-45B4-80AE-CA839FD7E4F1}" name="CANTIDAD TOTAL ESTIMADA"/>
    <tableColumn id="5" xr3:uid="{DFA2D049-8F07-4172-93F2-8FCF106629EE}" name="PRECIO UNITARIO ESTIMADO"/>
    <tableColumn id="6" xr3:uid="{1FF521E9-8DCE-472A-94DE-A414AC73432B}"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8FC0535A-E716-4DAF-9096-E33869BE5682}" name="Table14" displayName="Table14" ref="A146:F148" totalsRowShown="0">
  <tableColumns count="6">
    <tableColumn id="1" xr3:uid="{F134D713-0F32-46BE-9821-67F71ACECCBF}" name="CÓDIGO CATÁLOGO"/>
    <tableColumn id="2" xr3:uid="{04B2791D-376F-44CF-899E-31D6A6BD7B5C}" name="ARTÍCULO"/>
    <tableColumn id="3" xr3:uid="{2E71ECCD-C148-40BA-A4A3-3F6CA588C4F5}" name="UNIDAD DE MEDIDA">
      <calculatedColumnFormula>IFERROR(VLOOKUP("UD",'[1]Informacion '!P:Q,2,FALSE),"")</calculatedColumnFormula>
    </tableColumn>
    <tableColumn id="4" xr3:uid="{E58B4C2C-E8E7-494E-8D8C-FB59245CBC41}" name="CANTIDAD TOTAL ESTIMADA"/>
    <tableColumn id="5" xr3:uid="{F8D808D0-DCD5-468E-B25F-D4699E707963}" name="PRECIO UNITARIO ESTIMADO"/>
    <tableColumn id="6" xr3:uid="{57906DB9-CFB2-46EF-94E7-010FDDAA779B}"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E65555EB-E21A-48C8-8C0D-6712256CA599}" name="Table56" displayName="Table56" ref="A820:F885" totalsRowShown="0">
  <tableColumns count="6">
    <tableColumn id="1" xr3:uid="{FCC31650-813D-4BC3-A8B8-E107DF9CB7F9}" name="CÓDIGO CATÁLOGO"/>
    <tableColumn id="2" xr3:uid="{1A48A0DC-F71B-416A-93C3-39DD70AA2156}" name="ARTÍCULO"/>
    <tableColumn id="3" xr3:uid="{3246B69B-84F8-4217-8AD1-D436228010A2}" name="UNIDAD DE MEDIDA"/>
    <tableColumn id="4" xr3:uid="{17CB46DD-223B-4CC2-847C-D91A28B593A7}" name="CANTIDAD TOTAL ESTIMADA"/>
    <tableColumn id="5" xr3:uid="{46301AE1-DA6B-45AB-B11E-8081E1D2215D}" name="PRECIO UNITARIO ESTIMADO"/>
    <tableColumn id="6" xr3:uid="{3251FFD1-0B2E-4792-A6D2-45C245ECCC9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8EC8DEB-57A1-4791-8268-DA145171C6CB}" name="Table17" displayName="Table17" ref="A182:F183" totalsRowShown="0">
  <tableColumns count="6">
    <tableColumn id="1" xr3:uid="{E1AD28A2-AF5D-4D8F-890C-7BE7DACFBF4A}" name="CÓDIGO CATÁLOGO"/>
    <tableColumn id="2" xr3:uid="{168B7704-29C6-4D51-8B87-16DE707FC69E}" name="ARTÍCULO">
      <calculatedColumnFormula>IFERROR(INDEX(UNSPSCDes,MATCH(INDIRECT(ADDRESS(ROW(),COLUMN()-1,4)),UNSPSCCode,0)),IF(INDIRECT(ADDRESS(ROW(),COLUMN()-1,4))="25173813","Transmisiones automáticas",""))</calculatedColumnFormula>
    </tableColumn>
    <tableColumn id="3" xr3:uid="{EFDB7CC0-60CA-43BB-8836-FD97A61B9F6F}" name="UNIDAD DE MEDIDA">
      <calculatedColumnFormula>IFERROR(VLOOKUP("UD",'[1]Informacion '!P:Q,2,FALSE),"")</calculatedColumnFormula>
    </tableColumn>
    <tableColumn id="4" xr3:uid="{68847D19-1DCA-4F31-8E14-6F63E96BF939}" name="CANTIDAD TOTAL ESTIMADA"/>
    <tableColumn id="5" xr3:uid="{D084966A-CD67-4F23-B38A-8652A1ADB1A7}" name="PRECIO UNITARIO ESTIMADO"/>
    <tableColumn id="6" xr3:uid="{267BD8B2-47D9-40F0-949A-369B650D56EF}"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4F78209A-4DFD-4CF3-9272-6F99CA11308C}" name="Table35" displayName="Table35" ref="A438:F447" totalsRowShown="0">
  <tableColumns count="6">
    <tableColumn id="1" xr3:uid="{ECEED7D6-B1DF-46A3-A60D-0B7561C6BDAC}" name="CÓDIGO CATÁLOGO"/>
    <tableColumn id="2" xr3:uid="{556F359E-D75A-4203-B8F0-3E575EB42D5F}" name="ARTÍCULO">
      <calculatedColumnFormula>IFERROR(INDEX(UNSPSCDes,MATCH(INDIRECT(ADDRESS(ROW(),COLUMN()-1,4)),UNSPSCCode,0)),IF(INDIRECT(ADDRESS(ROW(),COLUMN()-1,4))="44103103","Tóner para impresoras o fax",""))</calculatedColumnFormula>
    </tableColumn>
    <tableColumn id="3" xr3:uid="{1F461C89-7146-491D-9EA4-B81823B07F40}" name="UNIDAD DE MEDIDA">
      <calculatedColumnFormula>IFERROR(VLOOKUP("UD",'[1]Informacion '!P:Q,2,FALSE),"")</calculatedColumnFormula>
    </tableColumn>
    <tableColumn id="4" xr3:uid="{4C4E8E7A-6698-451A-94A1-6196B3028735}" name="CANTIDAD TOTAL ESTIMADA"/>
    <tableColumn id="5" xr3:uid="{8897656B-376F-4B8D-A67C-C3E32AD6BA5A}" name="PRECIO UNITARIO ESTIMADO"/>
    <tableColumn id="6" xr3:uid="{825993C9-8ACB-48E1-9BD3-E3E4D0069B77}"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D44F7543-E063-4373-8ED5-0A6453C9DBDE}" name="Table68" displayName="Table68" ref="A1304:F1305" totalsRowShown="0">
  <tableColumns count="6">
    <tableColumn id="1" xr3:uid="{C3FB6368-0AD8-46DF-8865-D56C2D43D73D}" name="CÓDIGO CATÁLOGO"/>
    <tableColumn id="2" xr3:uid="{D13B645F-ABE8-46EA-81A1-8AFA0D100F0D}" name="ARTÍCULO">
      <calculatedColumnFormula>IFERROR(INDEX(UNSPSCDes,MATCH(INDIRECT(ADDRESS(ROW(),COLUMN()-1,4)),UNSPSCCode,0)),IF(INDIRECT(ADDRESS(ROW(),COLUMN()-1,4))="46181504","Guantes de protección",""))</calculatedColumnFormula>
    </tableColumn>
    <tableColumn id="3" xr3:uid="{6E3966DE-EF8B-4037-AAF6-66D2E29109F7}" name="UNIDAD DE MEDIDA">
      <calculatedColumnFormula>IFERROR(VLOOKUP("UD",'[1]Informacion '!P:Q,2,FALSE),"")</calculatedColumnFormula>
    </tableColumn>
    <tableColumn id="4" xr3:uid="{4649D4AA-118D-43CB-B2A3-C7288924EA02}" name="CANTIDAD TOTAL ESTIMADA"/>
    <tableColumn id="5" xr3:uid="{E7938A45-FD17-4A6B-9E7A-6AE8F0F2FB0A}" name="PRECIO UNITARIO ESTIMADO"/>
    <tableColumn id="6" xr3:uid="{25662A3D-A79D-4478-BB50-882E0CDA3ED5}"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0E4AB06-5567-4486-A9FC-B5DCB751B0D6}" name="Table96" displayName="Table96" ref="A1665:F1670" totalsRowShown="0">
  <tableColumns count="6">
    <tableColumn id="1" xr3:uid="{0CA591B5-6E26-4117-8D83-B8AD28897958}" name="CÓDIGO CATÁLOGO"/>
    <tableColumn id="2" xr3:uid="{C65476D6-FAC6-40F7-9098-DCE0CC091A0D}" name="ARTÍCULO">
      <calculatedColumnFormula>IFERROR(INDEX(UNSPSCDes,MATCH(INDIRECT(ADDRESS(ROW(),COLUMN()-1,4)),UNSPSCCode,0)),IF(INDIRECT(ADDRESS(ROW(),COLUMN()-1,4))="82121801","Publicación de libros de texto o de investigación",""))</calculatedColumnFormula>
    </tableColumn>
    <tableColumn id="3" xr3:uid="{16F5690A-AAA1-4406-B2E2-1F5871EF5F15}" name="UNIDAD DE MEDIDA">
      <calculatedColumnFormula>IFERROR(VLOOKUP("UD",'[1]Informacion '!P:Q,2,FALSE),"")</calculatedColumnFormula>
    </tableColumn>
    <tableColumn id="4" xr3:uid="{425EB4F7-C85F-4637-9454-093452F6F91D}" name="CANTIDAD TOTAL ESTIMADA"/>
    <tableColumn id="5" xr3:uid="{3440951C-C844-4394-897A-774653B6C6AA}" name="PRECIO UNITARIO ESTIMADO"/>
    <tableColumn id="6" xr3:uid="{6808D362-0B15-4194-A3A2-AC9292282F79}"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2332326-6282-4B42-9362-91AA6B202A9A}" name="Table37" displayName="Table37" ref="A470:F471" totalsRowShown="0">
  <tableColumns count="6">
    <tableColumn id="1" xr3:uid="{594DDB28-06A4-434C-BDB5-CC2DF7DB93A5}" name="CÓDIGO CATÁLOGO"/>
    <tableColumn id="2" xr3:uid="{24E669D6-9F52-40F1-8640-5A44F1930E2E}" name="ARTÍCULO">
      <calculatedColumnFormula>IFERROR(INDEX(UNSPSCDes,MATCH(INDIRECT(ADDRESS(ROW(),COLUMN()-1,4)),UNSPSCCode,0)),IF(INDIRECT(ADDRESS(ROW(),COLUMN()-1,4))="60124102","Productos de artesanía multicultural",""))</calculatedColumnFormula>
    </tableColumn>
    <tableColumn id="3" xr3:uid="{6148E2D5-7B21-4D59-BCFE-E3479A38237F}" name="UNIDAD DE MEDIDA">
      <calculatedColumnFormula>IFERROR(VLOOKUP("UD",'[1]Informacion '!P:Q,2,FALSE),"")</calculatedColumnFormula>
    </tableColumn>
    <tableColumn id="4" xr3:uid="{993B4C92-3B9E-44EF-8F0D-9462B746950B}" name="CANTIDAD TOTAL ESTIMADA"/>
    <tableColumn id="5" xr3:uid="{32A27D7F-0A02-4536-88C4-AB6FDBD5CB24}" name="PRECIO UNITARIO ESTIMADO"/>
    <tableColumn id="6" xr3:uid="{1D4F1A0D-47F2-4E99-9ABF-C87C57F91A4A}"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0847074-AD0A-47E3-957C-8BF5AE3E42EF}" name="Table81" displayName="Table81" ref="A1463:F1468" totalsRowShown="0">
  <tableColumns count="6">
    <tableColumn id="1" xr3:uid="{E368BE7E-45D2-4EC8-98AB-8C9FBE603D7B}" name="CÓDIGO CATÁLOGO"/>
    <tableColumn id="2" xr3:uid="{9043E18F-2812-4305-8DF3-9BFE51AF1217}" name="ARTÍCULO">
      <calculatedColumnFormula>IFERROR(INDEX(UNSPSCDes,MATCH(INDIRECT(ADDRESS(ROW(),COLUMN()-1,4)),UNSPSCCode,0)),IF(INDIRECT(ADDRESS(ROW(),COLUMN()-1,4))="91111502","Servicios de lavandería",""))</calculatedColumnFormula>
    </tableColumn>
    <tableColumn id="3" xr3:uid="{1EE3014E-F054-4201-8703-D607352F713F}" name="UNIDAD DE MEDIDA">
      <calculatedColumnFormula>IFERROR(VLOOKUP("UD",'[1]Informacion '!P:Q,2,FALSE),"")</calculatedColumnFormula>
    </tableColumn>
    <tableColumn id="4" xr3:uid="{BDFE0DBE-80B8-47C6-95A9-7053D91D7354}" name="CANTIDAD TOTAL ESTIMADA"/>
    <tableColumn id="5" xr3:uid="{32481B50-A324-416A-9F02-EA4E369A65CA}" name="PRECIO UNITARIO ESTIMADO"/>
    <tableColumn id="6" xr3:uid="{700659FC-3938-4013-ABEA-685851EB0557}"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2E6C5E7-8FCE-48F6-A621-A2C93740A47B}" name="Table103" displayName="Table103" ref="A1752:F1764" totalsRowShown="0">
  <tableColumns count="6">
    <tableColumn id="1" xr3:uid="{A0CB87A7-F6CB-4396-ACB1-A9B2266C8644}" name="CÓDIGO CATÁLOGO"/>
    <tableColumn id="2" xr3:uid="{31524410-6E3C-4DF3-807C-C36FF81F5CE0}" name="ARTÍCULO"/>
    <tableColumn id="3" xr3:uid="{EAC6C83C-298D-49E6-AB02-B09833A5972A}" name="UNIDAD DE MEDIDA"/>
    <tableColumn id="4" xr3:uid="{A3EF9D6E-8743-4F90-ABE1-E292E3C7CE41}" name="CANTIDAD TOTAL ESTIMADA"/>
    <tableColumn id="5" xr3:uid="{F0965334-C1FC-4AFA-915C-765C677C0D55}" name="PRECIO UNITARIO ESTIMADO"/>
    <tableColumn id="6" xr3:uid="{7A0CB765-A4FA-40FE-8D4D-E551CF1AD455}"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B73E9DA-F32C-4055-9687-A95BEA0D9611}" name="Table95" displayName="Table95" ref="A1654:F1655" totalsRowShown="0">
  <tableColumns count="6">
    <tableColumn id="1" xr3:uid="{C20A2E1F-AA60-4ECE-9329-B5BA77EF7FD9}" name="CÓDIGO CATÁLOGO"/>
    <tableColumn id="2" xr3:uid="{C5E6C79A-F005-40C0-BF48-5F0C1B5F31F1}" name="ARTÍCULO">
      <calculatedColumnFormula>IFERROR(INDEX(UNSPSCDes,MATCH(INDIRECT(ADDRESS(ROW(),COLUMN()-1,4)),UNSPSCCode,0)),IF(INDIRECT(ADDRESS(ROW(),COLUMN()-1,4))="44101501","Fotocopiadoras",""))</calculatedColumnFormula>
    </tableColumn>
    <tableColumn id="3" xr3:uid="{D12A0759-5F2D-4115-8841-2C812B9CE7EF}" name="UNIDAD DE MEDIDA">
      <calculatedColumnFormula>IFERROR(VLOOKUP("UD",'[1]Informacion '!P:Q,2,FALSE),"")</calculatedColumnFormula>
    </tableColumn>
    <tableColumn id="4" xr3:uid="{81614538-22D3-4695-B303-006B484E35F7}" name="CANTIDAD TOTAL ESTIMADA"/>
    <tableColumn id="5" xr3:uid="{BE670756-AAB2-49D9-880C-D5B3DB590E7A}" name="PRECIO UNITARIO ESTIMADO"/>
    <tableColumn id="6" xr3:uid="{40CD73CD-F69F-4620-A4C4-5C050F285843}"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E78B16-E3D9-49C0-BDF4-84B35527E03F}" name="Table52" displayName="Table52" ref="A691:F699" totalsRowShown="0">
  <tableColumns count="6">
    <tableColumn id="1" xr3:uid="{603FEA05-D8B7-478B-9B13-F1F9B9556FC7}" name="CÓDIGO CATÁLOGO"/>
    <tableColumn id="2" xr3:uid="{95943C5E-17D7-4249-AA2E-E329550FEB8C}" name="ARTÍCULO"/>
    <tableColumn id="3" xr3:uid="{8A2FF5CC-2839-487A-9F44-65DC7634F203}" name="UNIDAD DE MEDIDA"/>
    <tableColumn id="4" xr3:uid="{3740FF05-AA66-4275-A6F1-667077887935}" name="CANTIDAD TOTAL ESTIMADA"/>
    <tableColumn id="5" xr3:uid="{A3238888-11C4-4FAC-BC34-4ED68C7ADD36}" name="PRECIO UNITARIO ESTIMADO"/>
    <tableColumn id="6" xr3:uid="{96964EC8-2059-4C71-87BC-E29B066B7264}"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D3A1DDC-B47E-44B1-B837-5AD71BC9F8AE}" name="Table53" displayName="Table53" ref="A709:F717" totalsRowShown="0">
  <tableColumns count="6">
    <tableColumn id="1" xr3:uid="{304F40BD-1D0B-421C-A55B-3B5BACD61717}" name="CÓDIGO CATÁLOGO"/>
    <tableColumn id="2" xr3:uid="{5391D350-C84F-4BA7-B0A4-0438259CEC83}" name="ARTÍCULO"/>
    <tableColumn id="3" xr3:uid="{91F353DD-1847-4536-A0BA-0AFA945329FA}" name="UNIDAD DE MEDIDA"/>
    <tableColumn id="4" xr3:uid="{A87EDB6D-4720-4A5D-8FD1-F6DEBE10B1A4}" name="CANTIDAD TOTAL ESTIMADA"/>
    <tableColumn id="5" xr3:uid="{53E1B563-D356-434C-8A46-F72E0FBD46A9}" name="PRECIO UNITARIO ESTIMADO"/>
    <tableColumn id="6" xr3:uid="{0563B296-BF95-40A7-871D-78DA38AE57BC}"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9969F5-927E-41DE-994D-BD8E92876CAC}" name="Table113" displayName="Table113" ref="A1904:F1905" totalsRowShown="0">
  <tableColumns count="6">
    <tableColumn id="1" xr3:uid="{EFF6E302-3FD1-4405-BF69-EF72015694A5}" name="CÓDIGO CATÁLOGO"/>
    <tableColumn id="2" xr3:uid="{1FCF1AD5-B775-4646-9F6E-D06E29D5DD21}" name="ARTÍCULO">
      <calculatedColumnFormula>IFERROR(INDEX(UNSPSCDes,MATCH(INDIRECT(ADDRESS(ROW(),COLUMN()-1,4)),UNSPSCCode,0)),IF(INDIRECT(ADDRESS(ROW(),COLUMN()-1,4))="24101601","Ascensores",""))</calculatedColumnFormula>
    </tableColumn>
    <tableColumn id="3" xr3:uid="{EBD8E18F-7650-42BD-9DF4-0202F7380FA1}" name="UNIDAD DE MEDIDA">
      <calculatedColumnFormula>IFERROR(VLOOKUP("UD",'[1]Informacion '!P:Q,2,FALSE),"")</calculatedColumnFormula>
    </tableColumn>
    <tableColumn id="4" xr3:uid="{CB213CE7-F9CF-4140-AF18-2F4DF206E66F}" name="CANTIDAD TOTAL ESTIMADA"/>
    <tableColumn id="5" xr3:uid="{4771849F-5E54-4264-99CA-D399D502CC70}" name="PRECIO UNITARIO ESTIMADO"/>
    <tableColumn id="6" xr3:uid="{AA79139B-ECBC-45A8-BF84-093641567DDC}"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F08176-2717-41F9-8795-42DE78BD7DCB}" name="Table42" displayName="Table42" ref="A531:F532" totalsRowShown="0">
  <tableColumns count="6">
    <tableColumn id="1" xr3:uid="{3E57AB01-F4B1-4B77-BE94-02A5D4029030}" name="CÓDIGO CATÁLOGO"/>
    <tableColumn id="2" xr3:uid="{DD453F47-2722-4D2B-9440-2F09AFDB734A}" name="ARTÍCULO">
      <calculatedColumnFormula>IFERROR(INDEX(UNSPSCDes,MATCH(INDIRECT(ADDRESS(ROW(),COLUMN()-1,4)),UNSPSCCode,0)),IF(INDIRECT(ADDRESS(ROW(),COLUMN()-1,4))="53103001","Camisetas (t-shirts)",""))</calculatedColumnFormula>
    </tableColumn>
    <tableColumn id="3" xr3:uid="{649D965F-F10F-42B7-A656-64EE43BEB147}" name="UNIDAD DE MEDIDA">
      <calculatedColumnFormula>IFERROR(VLOOKUP("UD",'[1]Informacion '!P:Q,2,FALSE),"")</calculatedColumnFormula>
    </tableColumn>
    <tableColumn id="4" xr3:uid="{A3449F29-A817-4308-AFE8-6162A1605627}" name="CANTIDAD TOTAL ESTIMADA"/>
    <tableColumn id="5" xr3:uid="{BFCE6EFE-AD08-4FC1-AC81-E8973EA22313}" name="PRECIO UNITARIO ESTIMADO"/>
    <tableColumn id="6" xr3:uid="{21CED231-E6BA-4B36-8142-3F34B88F8E52}"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C0704C6-5A7B-4E83-8BF3-E5DD29E24BA9}" name="Table54" displayName="Table54" ref="A727:F729" totalsRowShown="0">
  <tableColumns count="6">
    <tableColumn id="1" xr3:uid="{90CAFFF3-C92E-4BA1-9884-EE97BBD665AE}" name="CÓDIGO CATÁLOGO"/>
    <tableColumn id="2" xr3:uid="{F3B3F3BB-8F58-4B6D-9821-B898A341DBFD}" name="ARTÍCULO">
      <calculatedColumnFormula>IFERROR(INDEX(UNSPSCDes,MATCH(INDIRECT(ADDRESS(ROW(),COLUMN()-1,4)),UNSPSCCode,0)),IF(INDIRECT(ADDRESS(ROW(),COLUMN()-1,4))="40101701","Aires acondicionados",""))</calculatedColumnFormula>
    </tableColumn>
    <tableColumn id="3" xr3:uid="{33FEB29D-C210-4D82-91C7-A57FBE720423}" name="UNIDAD DE MEDIDA">
      <calculatedColumnFormula>IFERROR(VLOOKUP("UD",'[1]Informacion '!P:Q,2,FALSE),"")</calculatedColumnFormula>
    </tableColumn>
    <tableColumn id="4" xr3:uid="{9635321C-86E4-4493-9487-0194E0735713}" name="CANTIDAD TOTAL ESTIMADA"/>
    <tableColumn id="5" xr3:uid="{21AF769C-750F-45D4-B003-F321F2F759D0}" name="PRECIO UNITARIO ESTIMADO"/>
    <tableColumn id="6" xr3:uid="{CF648375-F60F-4014-ABF8-A91CBCCE1F83}"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4D9979-0778-4E8C-87C7-AA8E0BDAC006}" name="Table93" displayName="Table93" ref="A1632:F1633" totalsRowShown="0">
  <tableColumns count="6">
    <tableColumn id="1" xr3:uid="{39AFD7DF-5357-491A-A4E1-0DAB123435CF}" name="CÓDIGO CATÁLOGO"/>
    <tableColumn id="2" xr3:uid="{C05C0C93-DAD6-437D-9C52-EF90F31A5E27}" name="ARTÍCULO">
      <calculatedColumnFormula>IFERROR(INDEX(UNSPSCDes,MATCH(INDIRECT(ADDRESS(ROW(),COLUMN()-1,4)),UNSPSCCode,0)),IF(INDIRECT(ADDRESS(ROW(),COLUMN()-1,4))="78180103","Servicios de cambio de fluidos de aceite o de la transmisión",""))</calculatedColumnFormula>
    </tableColumn>
    <tableColumn id="3" xr3:uid="{A47B4FC9-EC64-4B1B-B149-0E9793C764AF}" name="UNIDAD DE MEDIDA">
      <calculatedColumnFormula>IFERROR(VLOOKUP("UD",'[1]Informacion '!P:Q,2,FALSE),"")</calculatedColumnFormula>
    </tableColumn>
    <tableColumn id="4" xr3:uid="{A34F078E-8DCF-4365-8C2C-160FF00D6F4A}" name="CANTIDAD TOTAL ESTIMADA"/>
    <tableColumn id="5" xr3:uid="{AA1CC39C-D559-43FB-8C07-D9C8EDD65691}" name="PRECIO UNITARIO ESTIMADO"/>
    <tableColumn id="6" xr3:uid="{C6ED8C00-F2FC-4FD8-BBCE-C9B2B4D0C135}"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4467FC0-5A0A-4DAA-8F0F-84ED4E08BD6A}" name="Table71" displayName="Table71" ref="A1338:F1339" totalsRowShown="0">
  <tableColumns count="6">
    <tableColumn id="1" xr3:uid="{D999E8EB-63D1-4145-9B43-36FFC562DC67}" name="CÓDIGO CATÁLOGO"/>
    <tableColumn id="2" xr3:uid="{31818826-8B8E-422F-9100-1A2719147ADA}" name="ARTÍCULO">
      <calculatedColumnFormula>IFERROR(INDEX(UNSPSCDes,MATCH(INDIRECT(ADDRESS(ROW(),COLUMN()-1,4)),UNSPSCCode,0)),IF(INDIRECT(ADDRESS(ROW(),COLUMN()-1,4))="86101705","Capacitación administrativa",""))</calculatedColumnFormula>
    </tableColumn>
    <tableColumn id="3" xr3:uid="{BF4C15F2-DB9E-4D66-92A7-D4127AEAD2B3}" name="UNIDAD DE MEDIDA">
      <calculatedColumnFormula>IFERROR(VLOOKUP("UD",'[1]Informacion '!P:Q,2,FALSE),"")</calculatedColumnFormula>
    </tableColumn>
    <tableColumn id="4" xr3:uid="{9CBE6660-18F7-46F0-A424-6F838C47A916}" name="CANTIDAD TOTAL ESTIMADA"/>
    <tableColumn id="5" xr3:uid="{966E1B03-AE1D-4A42-A475-3721B0482328}" name="PRECIO UNITARIO ESTIMADO"/>
    <tableColumn id="6" xr3:uid="{3532B167-3A1B-423E-B6E7-B1051FC11D8D}"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F4D1614-FA65-4D83-8522-FE293920B276}" name="Table61" displayName="Table61" ref="A1126:F1154" totalsRowShown="0">
  <tableColumns count="6">
    <tableColumn id="1" xr3:uid="{F82617F4-0943-4D61-8716-B11B023A4576}" name="CÓDIGO CATÁLOGO"/>
    <tableColumn id="2" xr3:uid="{A9509878-7060-4C57-88C4-10640B290CB0}" name="ARTÍCULO"/>
    <tableColumn id="3" xr3:uid="{1806281D-2651-4BAB-8601-C7EC4833E905}" name="UNIDAD DE MEDIDA"/>
    <tableColumn id="4" xr3:uid="{583BA5C8-D7F7-4396-8C51-515D8820C5EC}" name="CANTIDAD TOTAL ESTIMADA"/>
    <tableColumn id="5" xr3:uid="{03EC409A-882E-4AAC-AFFE-BC82B2D3B668}" name="PRECIO UNITARIO ESTIMADO"/>
    <tableColumn id="6" xr3:uid="{27106FE5-FB3D-459A-A2F1-F4963915B8F4}"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D85BF3-E581-44AB-AE9A-DF4DFD72F25E}" name="Table87" displayName="Table87" ref="A1541:F1549" totalsRowShown="0">
  <tableColumns count="6">
    <tableColumn id="1" xr3:uid="{54DE3A8A-6D0C-49C8-B553-DD522E77841B}" name="CÓDIGO CATÁLOGO"/>
    <tableColumn id="2" xr3:uid="{C374C523-6C90-4138-807B-EB8BC15E1D88}" name="ARTÍCULO"/>
    <tableColumn id="3" xr3:uid="{CBD23E50-C8F9-422C-898E-E34138F24851}" name="UNIDAD DE MEDIDA">
      <calculatedColumnFormula>IFERROR(VLOOKUP("UD",'[1]Informacion '!P:Q,2,FALSE),"")</calculatedColumnFormula>
    </tableColumn>
    <tableColumn id="4" xr3:uid="{C7DE4F0E-C412-4343-9DAF-F88355DF0EA8}" name="CANTIDAD TOTAL ESTIMADA"/>
    <tableColumn id="5" xr3:uid="{B4B9371F-9406-4981-BAD9-16D6CE35F446}" name="PRECIO UNITARIO ESTIMADO"/>
    <tableColumn id="6" xr3:uid="{6D93A5A6-CCBA-48EC-AAB4-54DEA47C0CF1}"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8D717BA-9E0D-4682-A356-C1140B5E9E6E}" name="Table62" displayName="Table62" ref="A1164:F1192" totalsRowShown="0">
  <tableColumns count="6">
    <tableColumn id="1" xr3:uid="{B74DD849-4A31-40D1-8C86-C1BD18181BE2}" name="CÓDIGO CATÁLOGO"/>
    <tableColumn id="2" xr3:uid="{0BD14941-2F75-4806-ABDC-34C5D50518F6}" name="ARTÍCULO"/>
    <tableColumn id="3" xr3:uid="{56A0C561-071D-4EF7-9B28-AEF674D9A0B5}" name="UNIDAD DE MEDIDA"/>
    <tableColumn id="4" xr3:uid="{9147E077-1123-4250-9678-1AAB2E1C3519}" name="CANTIDAD TOTAL ESTIMADA"/>
    <tableColumn id="5" xr3:uid="{B005A08B-8C78-4D0D-B5A4-4EB2D800C8BB}" name="PRECIO UNITARIO ESTIMADO"/>
    <tableColumn id="6" xr3:uid="{D66286D3-6E55-44CF-B07B-0F5A643803DC}"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9CB2B23-51E6-4F56-A8B9-0C00E4011793}" name="Table111" displayName="Table111" ref="A1882:F1883" totalsRowShown="0">
  <tableColumns count="6">
    <tableColumn id="1" xr3:uid="{5EE0C407-4829-4BD0-9293-45B28678B99D}" name="CÓDIGO CATÁLOGO"/>
    <tableColumn id="2" xr3:uid="{593ED08F-B5CB-44EA-9118-0BE42F4B4FDB}" name="ARTÍCULO">
      <calculatedColumnFormula>IFERROR(INDEX(UNSPSCDes,MATCH(INDIRECT(ADDRESS(ROW(),COLUMN()-1,4)),UNSPSCCode,0)),IF(INDIRECT(ADDRESS(ROW(),COLUMN()-1,4))="82121903","Encuadernación con pegante",""))</calculatedColumnFormula>
    </tableColumn>
    <tableColumn id="3" xr3:uid="{E28B1FE4-CDCE-48F9-BAEF-3D218F816475}" name="UNIDAD DE MEDIDA">
      <calculatedColumnFormula>IFERROR(VLOOKUP("UD",'[1]Informacion '!P:Q,2,FALSE),"")</calculatedColumnFormula>
    </tableColumn>
    <tableColumn id="4" xr3:uid="{17C222D8-A46E-4625-8C75-6F9895536F1B}" name="CANTIDAD TOTAL ESTIMADA"/>
    <tableColumn id="5" xr3:uid="{75345627-6685-4D70-98F9-1D29329F00B9}" name="PRECIO UNITARIO ESTIMADO"/>
    <tableColumn id="6" xr3:uid="{63F14E4A-C39E-4DB8-9C1F-02FE8DD170E3}"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CB53906-7D01-4E18-A046-BCE0B0763489}" name="Table31" displayName="Table31" ref="A370:F371" totalsRowShown="0">
  <tableColumns count="6">
    <tableColumn id="1" xr3:uid="{50A2A542-A97A-4387-B728-3B681CD2547C}" name="CÓDIGO CATÁLOGO"/>
    <tableColumn id="2" xr3:uid="{9660BC58-5DFF-435E-A50D-0F98E9943FC4}" name="ARTÍCULO">
      <calculatedColumnFormula>IFERROR(INDEX(UNSPSCDes,MATCH(INDIRECT(ADDRESS(ROW(),COLUMN()-1,4)),UNSPSCCode,0)),IF(INDIRECT(ADDRESS(ROW(),COLUMN()-1,4))="81111812","Servicio de mantenimiento o soporte del hardware del computador",""))</calculatedColumnFormula>
    </tableColumn>
    <tableColumn id="3" xr3:uid="{28239E67-B2E6-4544-BB99-F5C73A7F1D34}" name="UNIDAD DE MEDIDA">
      <calculatedColumnFormula>IFERROR(VLOOKUP("UD",'[1]Informacion '!P:Q,2,FALSE),"")</calculatedColumnFormula>
    </tableColumn>
    <tableColumn id="4" xr3:uid="{CF52CA3F-063C-46B5-85FF-8AB2656975F7}" name="CANTIDAD TOTAL ESTIMADA"/>
    <tableColumn id="5" xr3:uid="{C9B1B37E-8999-440F-B4D3-73ED63853CE0}" name="PRECIO UNITARIO ESTIMADO"/>
    <tableColumn id="6" xr3:uid="{15455B92-7DFF-494D-B451-F0ED8D0996C1}"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F7DD9D-786C-49FA-B5E7-9A7568820A6E}" name="Table51" displayName="Table51" ref="A676:F681" totalsRowShown="0">
  <tableColumns count="6">
    <tableColumn id="1" xr3:uid="{AED7D60E-03DF-482E-8E7B-326DC2532360}" name="CÓDIGO CATÁLOGO"/>
    <tableColumn id="2" xr3:uid="{04BA3F49-2527-4FE7-975D-D3923229ABB5}" name="ARTÍCULO"/>
    <tableColumn id="3" xr3:uid="{93958A1C-62F7-4225-BF03-BDA4A8E43A87}" name="UNIDAD DE MEDIDA">
      <calculatedColumnFormula>IFERROR(VLOOKUP("UD",'[1]Informacion '!P:Q,2,FALSE),"")</calculatedColumnFormula>
    </tableColumn>
    <tableColumn id="4" xr3:uid="{8CBE51B2-8A54-43B9-B784-752F672E9A63}" name="CANTIDAD TOTAL ESTIMADA"/>
    <tableColumn id="5" xr3:uid="{CC6482A0-EF99-46AF-9373-07A7E6F1736A}" name="PRECIO UNITARIO ESTIMADO"/>
    <tableColumn id="6" xr3:uid="{CD300A05-3F90-4628-8911-168F44DC3E6B}"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D012CE8-903D-4703-89E1-B524E695E04D}" name="Table104" displayName="Table104" ref="A1774:F1785" totalsRowShown="0">
  <tableColumns count="6">
    <tableColumn id="1" xr3:uid="{AFBDDD1A-5634-4BDB-B50C-EB8CA572D520}" name="CÓDIGO CATÁLOGO"/>
    <tableColumn id="2" xr3:uid="{966548CE-F72E-4AB2-8DC0-6172263CAFC8}" name="ARTÍCULO"/>
    <tableColumn id="3" xr3:uid="{785375CB-F193-4148-A47B-516A42DE0CE8}" name="UNIDAD DE MEDIDA"/>
    <tableColumn id="4" xr3:uid="{0C42469B-B7A6-4849-9A32-42B18BBC7734}" name="CANTIDAD TOTAL ESTIMADA"/>
    <tableColumn id="5" xr3:uid="{65D5FE48-B63A-4410-8219-3575BDAEFB66}" name="PRECIO UNITARIO ESTIMADO"/>
    <tableColumn id="6" xr3:uid="{3B1EA490-4CDF-410A-99F1-8B4E1F02B8B2}"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32F496-B03F-45F3-8154-AB0FF69B2C8B}" name="Table63" displayName="Table63" ref="A1202:F1213" totalsRowShown="0">
  <tableColumns count="6">
    <tableColumn id="1" xr3:uid="{2CD761BE-3C67-4F22-8BE6-3308B89FCD3C}" name="CÓDIGO CATÁLOGO"/>
    <tableColumn id="2" xr3:uid="{DB1C58DF-C1D6-4059-89A6-176A377A52A6}" name="ARTÍCULO"/>
    <tableColumn id="3" xr3:uid="{D7E8EA9E-FF22-4C29-8097-130111D49D9F}" name="UNIDAD DE MEDIDA"/>
    <tableColumn id="4" xr3:uid="{D4CAA1EC-8E5B-4D19-BCF2-D86717E75D60}" name="CANTIDAD TOTAL ESTIMADA"/>
    <tableColumn id="5" xr3:uid="{E7601F47-24E3-4BB4-AFDB-1CB8E6843B6E}" name="PRECIO UNITARIO ESTIMADO"/>
    <tableColumn id="6" xr3:uid="{97AB2CC0-CAA5-4D11-A1E8-F1905BA50F99}"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B6A1347-DBC5-4AFB-B375-E63E7A747DE0}" name="Table29" displayName="Table29" ref="A348:F349" totalsRowShown="0">
  <tableColumns count="6">
    <tableColumn id="1" xr3:uid="{B00B0C2D-71FF-4E26-A85F-EEBDD9A59A2E}" name="CÓDIGO CATÁLOGO"/>
    <tableColumn id="2" xr3:uid="{55910B3B-E1F9-4F40-AF7A-0586017EFD86}" name="ARTÍCULO">
      <calculatedColumnFormula>IFERROR(INDEX(UNSPSCDes,MATCH(INDIRECT(ADDRESS(ROW(),COLUMN()-1,4)),UNSPSCCode,0)),IF(INDIRECT(ADDRESS(ROW(),COLUMN()-1,4))="81111812","Servicio de mantenimiento o soporte del hardware del computador",""))</calculatedColumnFormula>
    </tableColumn>
    <tableColumn id="3" xr3:uid="{7B3222A8-3262-434A-8B7C-C5E1C9C272EA}" name="UNIDAD DE MEDIDA">
      <calculatedColumnFormula>IFERROR(VLOOKUP("UD",'[1]Informacion '!P:Q,2,FALSE),"")</calculatedColumnFormula>
    </tableColumn>
    <tableColumn id="4" xr3:uid="{7FAE91CF-E89E-469B-9B22-B1E18D170C04}" name="CANTIDAD TOTAL ESTIMADA"/>
    <tableColumn id="5" xr3:uid="{63998E95-A015-4869-8D59-346F61F52373}" name="PRECIO UNITARIO ESTIMADO"/>
    <tableColumn id="6" xr3:uid="{9402F421-90B6-464A-A4F8-71E960E4542A}"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C6B2B76-4452-4D25-8E78-6D20D4BAE98B}" name="Table97" displayName="Table97" ref="A1680:F1682" totalsRowShown="0">
  <tableColumns count="6">
    <tableColumn id="1" xr3:uid="{6F40F2CD-D0DB-4126-A108-201F2CB98E58}" name="CÓDIGO CATÁLOGO"/>
    <tableColumn id="2" xr3:uid="{A77AEE3B-F82F-4BB4-B508-506913BD1C2C}" name="ARTÍCULO"/>
    <tableColumn id="3" xr3:uid="{86F8D86F-5B3C-486F-BC44-2DD210F8C185}" name="UNIDAD DE MEDIDA">
      <calculatedColumnFormula>IFERROR(VLOOKUP("UD",'[1]Informacion '!P:Q,2,FALSE),"")</calculatedColumnFormula>
    </tableColumn>
    <tableColumn id="4" xr3:uid="{865F4BF2-C922-4545-AE7D-5C2408576B3A}" name="CANTIDAD TOTAL ESTIMADA"/>
    <tableColumn id="5" xr3:uid="{37C40D74-4819-49F4-B6C7-9DCA136B6EB7}" name="PRECIO UNITARIO ESTIMADO"/>
    <tableColumn id="6" xr3:uid="{8DA48442-E0A8-4D21-BAD8-68B0D0F7DA64}"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D82F952-E45A-48DA-9CBF-74A96D5909AC}" name="Table86" displayName="Table86" ref="A1527:F1531" totalsRowShown="0">
  <tableColumns count="6">
    <tableColumn id="1" xr3:uid="{7DFB81F4-B3FF-4219-A6C1-D5AB48D064B9}" name="CÓDIGO CATÁLOGO"/>
    <tableColumn id="2" xr3:uid="{352EE3BE-E932-4513-89AB-484876EA3BBF}" name="ARTÍCULO"/>
    <tableColumn id="3" xr3:uid="{62E096BD-6DDB-4386-94AF-AD35649D40AC}" name="UNIDAD DE MEDIDA">
      <calculatedColumnFormula>IFERROR(VLOOKUP("UD",'[1]Informacion '!P:Q,2,FALSE),"")</calculatedColumnFormula>
    </tableColumn>
    <tableColumn id="4" xr3:uid="{F2EA7271-DC20-4658-A9AE-FEA9BAE2E504}" name="CANTIDAD TOTAL ESTIMADA"/>
    <tableColumn id="5" xr3:uid="{4416F639-34F5-41D2-93DC-7C4794A5AB22}" name="PRECIO UNITARIO ESTIMADO"/>
    <tableColumn id="6" xr3:uid="{7A8C36A3-D84C-4765-ADE0-D8B116DB9BE2}"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F5D7653-B9FE-49CD-A497-10248E9814A8}" name="Table75" displayName="Table75" ref="A1382:F1384" totalsRowShown="0">
  <tableColumns count="6">
    <tableColumn id="1" xr3:uid="{178CEC03-9E69-43C5-8AC5-F4612EC288FC}" name="CÓDIGO CATÁLOGO"/>
    <tableColumn id="2" xr3:uid="{8C456EBD-1BB2-4990-86BD-93195CC4DBE7}" name="ARTÍCULO">
      <calculatedColumnFormula>IFERROR(INDEX(UNSPSCDes,MATCH(INDIRECT(ADDRESS(ROW(),COLUMN()-1,4)),UNSPSCCode,0)),IF(INDIRECT(ADDRESS(ROW(),COLUMN()-1,4))="80141607","Gestión de eventos",""))</calculatedColumnFormula>
    </tableColumn>
    <tableColumn id="3" xr3:uid="{15FEE375-385C-4C07-8691-E403B9221D42}" name="UNIDAD DE MEDIDA">
      <calculatedColumnFormula>IFERROR(VLOOKUP("UD",'[1]Informacion '!P:Q,2,FALSE),"")</calculatedColumnFormula>
    </tableColumn>
    <tableColumn id="4" xr3:uid="{1CFDAEC0-61D9-4EA5-9C52-2D23D0F5A737}" name="CANTIDAD TOTAL ESTIMADA"/>
    <tableColumn id="5" xr3:uid="{F80E7CF8-77F7-4107-A159-25FD6523F959}" name="PRECIO UNITARIO ESTIMADO"/>
    <tableColumn id="6" xr3:uid="{8100E173-0181-46AA-9870-0F21971AEA0F}"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F9755AA-CF74-4E1F-89C3-3252C716F77C}" name="Table50" displayName="Table50" ref="A656:F666" totalsRowShown="0">
  <tableColumns count="6">
    <tableColumn id="1" xr3:uid="{499C18F4-09FA-4E74-9B55-927565622B88}" name="CÓDIGO CATÁLOGO"/>
    <tableColumn id="2" xr3:uid="{C7D4C091-4AA3-4BA6-8FC8-EF60E5EA88C9}" name="ARTÍCULO"/>
    <tableColumn id="3" xr3:uid="{0AB1C515-3689-4031-92EC-9DD15412D2CB}" name="UNIDAD DE MEDIDA"/>
    <tableColumn id="4" xr3:uid="{E7CB91D6-443A-403C-A134-E6EAEB018708}" name="CANTIDAD TOTAL ESTIMADA"/>
    <tableColumn id="5" xr3:uid="{C9B0A5BC-9971-4C73-94BA-B9B52BB8401E}" name="PRECIO UNITARIO ESTIMADO"/>
    <tableColumn id="6" xr3:uid="{C86DFB4A-7CB3-413C-B372-E71406E90421}"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AB10E9B-81E0-4BA9-8339-D9BC79C4CB30}" name="Table25" displayName="Table25" ref="A301:F304" totalsRowShown="0">
  <tableColumns count="6">
    <tableColumn id="1" xr3:uid="{1D82FECE-9E02-4592-ABCD-E36A97F661B8}" name="CÓDIGO CATÁLOGO"/>
    <tableColumn id="2" xr3:uid="{C8E8A791-7374-47F5-AF9F-F1BAE4089F3A}" name="ARTÍCULO">
      <calculatedColumnFormula>IFERROR(INDEX(UNSPSCDes,MATCH(INDIRECT(ADDRESS(ROW(),COLUMN()-1,4)),UNSPSCCode,0)),IF(INDIRECT(ADDRESS(ROW(),COLUMN()-1,4))="43231512","Software de manejo de licencias",""))</calculatedColumnFormula>
    </tableColumn>
    <tableColumn id="3" xr3:uid="{DCDE690D-7453-4FE6-9615-780ADFDC6FDD}" name="UNIDAD DE MEDIDA">
      <calculatedColumnFormula>IFERROR(VLOOKUP("UD",'[1]Informacion '!P:Q,2,FALSE),"")</calculatedColumnFormula>
    </tableColumn>
    <tableColumn id="4" xr3:uid="{55F65663-C922-4889-8BEE-43DE0B4434C8}" name="CANTIDAD TOTAL ESTIMADA"/>
    <tableColumn id="5" xr3:uid="{B87F04AA-27DF-4B01-A6ED-E91F768A95C8}" name="PRECIO UNITARIO ESTIMADO"/>
    <tableColumn id="6" xr3:uid="{65B14EA3-C197-42D0-8B92-C33C3D72C33D}"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E8A2534-97A0-4B9E-85A5-BE4E1163FE7F}" name="Table4" displayName="Table4" ref="A22:F24" totalsRowShown="0">
  <tableColumns count="6">
    <tableColumn id="1" xr3:uid="{B74BB4CD-987A-4CD5-AAD8-EED8A9FF64BC}" name="CÓDIGO CATÁLOGO"/>
    <tableColumn id="2" xr3:uid="{7D442B0A-8A5A-45B8-95B7-712EC2E581BF}" name="ARTÍCULO"/>
    <tableColumn id="3" xr3:uid="{7B133211-41F2-40E8-B7FC-71D862255CFA}" name="UNIDAD DE MEDIDA">
      <calculatedColumnFormula>IFERROR(VLOOKUP("GAL",'[1]Informacion '!P:Q,2,FALSE),"")</calculatedColumnFormula>
    </tableColumn>
    <tableColumn id="4" xr3:uid="{D2C063D9-89B6-4DA9-91C7-4F1F331EE988}" name="CANTIDAD TOTAL ESTIMADA"/>
    <tableColumn id="5" xr3:uid="{46E2CD98-8109-4001-B9EE-9EE3CBB284D5}" name="PRECIO UNITARIO ESTIMADO"/>
    <tableColumn id="6" xr3:uid="{7ED266B2-79F8-45AE-ACCB-6E985ECA218E}"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F833A81-6B6B-48BB-85E1-00D4CCD1943F}" name="Table44" displayName="Table44" ref="A558:F561" totalsRowShown="0">
  <tableColumns count="6">
    <tableColumn id="1" xr3:uid="{C510AA06-D095-41CE-BF78-2290EBCEB1B2}" name="CÓDIGO CATÁLOGO"/>
    <tableColumn id="2" xr3:uid="{DCCB2F91-E275-4785-9BA3-782374FB8071}" name="ARTÍCULO"/>
    <tableColumn id="3" xr3:uid="{689DCDF1-0765-47F2-ABB7-A71F5F3F48D7}" name="UNIDAD DE MEDIDA">
      <calculatedColumnFormula>IFERROR(VLOOKUP("UD",'[1]Informacion '!P:Q,2,FALSE),"")</calculatedColumnFormula>
    </tableColumn>
    <tableColumn id="4" xr3:uid="{6366EC80-5A25-4BE7-BE7A-FC2D37499F77}" name="CANTIDAD TOTAL ESTIMADA"/>
    <tableColumn id="5" xr3:uid="{57C5E3C5-1168-44F8-9E84-2EE63B3F380D}" name="PRECIO UNITARIO ESTIMADO"/>
    <tableColumn id="6" xr3:uid="{B48A2581-1669-440A-ADD2-55612247041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98A7DBC-9C3C-4688-B692-5EF94F26604E}" name="Table18" displayName="Table18" ref="A193:F194" totalsRowShown="0">
  <tableColumns count="6">
    <tableColumn id="1" xr3:uid="{85AF4AC5-4BF2-4FD4-8BDE-CD1B6A57B2D7}" name="CÓDIGO CATÁLOGO"/>
    <tableColumn id="2" xr3:uid="{FEBF53D4-4FAB-4398-B430-EDFC2CFDE150}" name="ARTÍCULO">
      <calculatedColumnFormula>IFERROR(INDEX(UNSPSCDes,MATCH(INDIRECT(ADDRESS(ROW(),COLUMN()-1,4)),UNSPSCCode,0)),IF(INDIRECT(ADDRESS(ROW(),COLUMN()-1,4))="25101503","Carros",""))</calculatedColumnFormula>
    </tableColumn>
    <tableColumn id="3" xr3:uid="{D52EA0E4-1F7E-4536-8DDE-2FD12DC86B28}" name="UNIDAD DE MEDIDA">
      <calculatedColumnFormula>IFERROR(VLOOKUP("UD",'[1]Informacion '!P:Q,2,FALSE),"")</calculatedColumnFormula>
    </tableColumn>
    <tableColumn id="4" xr3:uid="{EE273B46-6621-4D85-BD08-AC3B1F38FF02}" name="CANTIDAD TOTAL ESTIMADA"/>
    <tableColumn id="5" xr3:uid="{C2E6B5E3-41E9-49BE-8AD7-53762740AF9B}" name="PRECIO UNITARIO ESTIMADO"/>
    <tableColumn id="6" xr3:uid="{C92A918B-AC44-4E33-905E-C4266C9E3C25}"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6198B81-EE8E-4F06-86A5-538D5F149033}" name="Table65" displayName="Table65" ref="A1244:F1255" totalsRowShown="0">
  <tableColumns count="6">
    <tableColumn id="1" xr3:uid="{BC890824-FA7C-47FF-BDDB-B6BDD3424A3C}" name="CÓDIGO CATÁLOGO"/>
    <tableColumn id="2" xr3:uid="{833A691D-CC0E-4734-B18A-A6CAFB803C58}" name="ARTÍCULO"/>
    <tableColumn id="3" xr3:uid="{7EFC4EFA-3727-4B03-87BC-6656F1866E92}" name="UNIDAD DE MEDIDA"/>
    <tableColumn id="4" xr3:uid="{742AB6B7-2036-47BB-ABFC-2BDFC3F7C5FB}" name="CANTIDAD TOTAL ESTIMADA"/>
    <tableColumn id="5" xr3:uid="{BB982D2A-EBCA-432F-A508-3C7CB42FC721}" name="PRECIO UNITARIO ESTIMADO"/>
    <tableColumn id="6" xr3:uid="{9F6FA105-D325-45BE-9BB3-E9CF8B13B244}"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EC4401-93BE-4728-B409-6FF59A9F5EAB}" name="Table110" displayName="Table110" ref="A1871:F1872" totalsRowShown="0">
  <tableColumns count="6">
    <tableColumn id="1" xr3:uid="{E10931E2-ACF4-4E7F-BF72-E695CB6C0E80}" name="CÓDIGO CATÁLOGO"/>
    <tableColumn id="2" xr3:uid="{C2302A8D-C3B2-4A1C-BC16-B70F506DAF96}" name="ARTÍCULO">
      <calculatedColumnFormula>IFERROR(INDEX(UNSPSCDes,MATCH(INDIRECT(ADDRESS(ROW(),COLUMN()-1,4)),UNSPSCCode,0)),IF(INDIRECT(ADDRESS(ROW(),COLUMN()-1,4))="82121903","Encuadernación con pegante",""))</calculatedColumnFormula>
    </tableColumn>
    <tableColumn id="3" xr3:uid="{71C8EB6D-00C4-4752-9688-E103677A8A14}" name="UNIDAD DE MEDIDA">
      <calculatedColumnFormula>IFERROR(VLOOKUP("UD",'[1]Informacion '!P:Q,2,FALSE),"")</calculatedColumnFormula>
    </tableColumn>
    <tableColumn id="4" xr3:uid="{B9807864-9D9A-49B5-9688-6EF0C1610FC4}" name="CANTIDAD TOTAL ESTIMADA"/>
    <tableColumn id="5" xr3:uid="{04E3F65B-8472-478D-BDF0-045135739E8D}" name="PRECIO UNITARIO ESTIMADO"/>
    <tableColumn id="6" xr3:uid="{C2C27D54-7B5A-4955-AE63-20F38A80ABAC}"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3F247BE-53DC-432B-A151-D3891775ED18}" name="Table33" displayName="Table33" ref="A400:F409" totalsRowShown="0">
  <tableColumns count="6">
    <tableColumn id="1" xr3:uid="{C85D51D4-4263-48F0-A550-3E5088280572}" name="CÓDIGO CATÁLOGO"/>
    <tableColumn id="2" xr3:uid="{87F510F1-C169-4BAA-A00B-4B042BEEFFB8}" name="ARTÍCULO">
      <calculatedColumnFormula>IFERROR(INDEX(UNSPSCDes,MATCH(INDIRECT(ADDRESS(ROW(),COLUMN()-1,4)),UNSPSCCode,0)),IF(INDIRECT(ADDRESS(ROW(),COLUMN()-1,4))="44103103","Tóner para impresoras o fax",""))</calculatedColumnFormula>
    </tableColumn>
    <tableColumn id="3" xr3:uid="{D6095750-098C-44D4-893A-23693A661119}" name="UNIDAD DE MEDIDA">
      <calculatedColumnFormula>IFERROR(VLOOKUP("UD",'[1]Informacion '!P:Q,2,FALSE),"")</calculatedColumnFormula>
    </tableColumn>
    <tableColumn id="4" xr3:uid="{A76A2304-7B33-49D9-A254-7341CF91C203}" name="CANTIDAD TOTAL ESTIMADA"/>
    <tableColumn id="5" xr3:uid="{8544D282-46A3-4623-8C15-E9267C205252}" name="PRECIO UNITARIO ESTIMADO"/>
    <tableColumn id="6" xr3:uid="{06D17397-43CA-42A9-ACD6-F7C23357253D}"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47BDF44-DFFC-48BC-B3B6-BE93F52E811E}" name="Table26" displayName="Table26" ref="A314:F316" totalsRowShown="0">
  <tableColumns count="6">
    <tableColumn id="1" xr3:uid="{51CD20F3-A413-4964-B772-4BDEA2D1A6E9}" name="CÓDIGO CATÁLOGO"/>
    <tableColumn id="2" xr3:uid="{C2E0429A-D2B1-4F9E-9704-ACB4AB4F8B67}" name="ARTÍCULO">
      <calculatedColumnFormula>IFERROR(INDEX(UNSPSCDes,MATCH(INDIRECT(ADDRESS(ROW(),COLUMN()-1,4)),UNSPSCCode,0)),IF(INDIRECT(ADDRESS(ROW(),COLUMN()-1,4))="43231512","Software de manejo de licencias",""))</calculatedColumnFormula>
    </tableColumn>
    <tableColumn id="3" xr3:uid="{073B2721-C071-459A-86F3-51DD6FCCA8F9}" name="UNIDAD DE MEDIDA">
      <calculatedColumnFormula>IFERROR(VLOOKUP("UD",'[1]Informacion '!P:Q,2,FALSE),"")</calculatedColumnFormula>
    </tableColumn>
    <tableColumn id="4" xr3:uid="{E2BB43E6-D732-411F-A17C-C404B8DD800C}" name="CANTIDAD TOTAL ESTIMADA"/>
    <tableColumn id="5" xr3:uid="{4BE5AC19-C6D7-496F-BEA0-7A3750731E2F}" name="PRECIO UNITARIO ESTIMADO"/>
    <tableColumn id="6" xr3:uid="{729D916F-A4AF-4A03-9970-9DD86E559DF7}"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9337A6E-BF7B-46B8-B033-1EE8881FDFCE}" name="Table39" displayName="Table39" ref="A493:F494" totalsRowShown="0">
  <tableColumns count="6">
    <tableColumn id="1" xr3:uid="{3203DEBF-583A-418A-8DB1-94D62069D58D}" name="CÓDIGO CATÁLOGO"/>
    <tableColumn id="2" xr3:uid="{05CA73E2-6A35-4D67-B836-3A57E7E30EB7}" name="ARTÍCULO">
      <calculatedColumnFormula>IFERROR(INDEX(UNSPSCDes,MATCH(INDIRECT(ADDRESS(ROW(),COLUMN()-1,4)),UNSPSCCode,0)),IF(INDIRECT(ADDRESS(ROW(),COLUMN()-1,4))="60124102","Productos de artesanía multicultural",""))</calculatedColumnFormula>
    </tableColumn>
    <tableColumn id="3" xr3:uid="{27AD8071-7646-43C4-9E35-E3B484204667}" name="UNIDAD DE MEDIDA">
      <calculatedColumnFormula>IFERROR(VLOOKUP("UD",'[1]Informacion '!P:Q,2,FALSE),"")</calculatedColumnFormula>
    </tableColumn>
    <tableColumn id="4" xr3:uid="{08F34CF9-D622-4EF3-9F18-124A11EF3058}" name="CANTIDAD TOTAL ESTIMADA"/>
    <tableColumn id="5" xr3:uid="{AD84DFE7-B454-42A1-B22A-371264C31855}" name="PRECIO UNITARIO ESTIMADO"/>
    <tableColumn id="6" xr3:uid="{44A30CE4-A8D1-445B-93FA-0F8FEED09C5F}"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3238087-2B26-453D-8D24-FDD7520A676A}" name="Table19" displayName="Table19" ref="A204:F205" totalsRowShown="0">
  <tableColumns count="6">
    <tableColumn id="1" xr3:uid="{3C430594-E9BF-4FD8-B990-CC4E7067E93F}" name="CÓDIGO CATÁLOGO"/>
    <tableColumn id="2" xr3:uid="{F2EAB642-A550-486D-8CED-E98886E6CDA4}" name="ARTÍCULO">
      <calculatedColumnFormula>IFERROR(INDEX(UNSPSCDes,MATCH(INDIRECT(ADDRESS(ROW(),COLUMN()-1,4)),UNSPSCCode,0)),IF(INDIRECT(ADDRESS(ROW(),COLUMN()-1,4))="26111701","Baterías recargables",""))</calculatedColumnFormula>
    </tableColumn>
    <tableColumn id="3" xr3:uid="{746B249A-F0EE-4650-9B1D-0B74B7F37524}" name="UNIDAD DE MEDIDA">
      <calculatedColumnFormula>IFERROR(VLOOKUP("UD",'[1]Informacion '!P:Q,2,FALSE),"")</calculatedColumnFormula>
    </tableColumn>
    <tableColumn id="4" xr3:uid="{14284B2A-7B54-46D7-A2E1-8A513D3F9F3B}" name="CANTIDAD TOTAL ESTIMADA"/>
    <tableColumn id="5" xr3:uid="{4A151077-F177-4E86-BD8C-5FFD9586A4AC}" name="PRECIO UNITARIO ESTIMADO"/>
    <tableColumn id="6" xr3:uid="{F40D750D-158C-4FDA-8209-B5AA47E98B2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3CD6372-905D-46A2-9EA2-5B26ADC47916}" name="Table100" displayName="Table100" ref="A1717:F1719" totalsRowShown="0">
  <tableColumns count="6">
    <tableColumn id="1" xr3:uid="{9DA8EDD8-21BD-4F64-91E8-2D2FF06028FA}" name="CÓDIGO CATÁLOGO"/>
    <tableColumn id="2" xr3:uid="{85511DFF-8262-4B83-9B6D-432E0D598C39}" name="ARTÍCULO"/>
    <tableColumn id="3" xr3:uid="{1693125E-A327-4C86-9B47-7D7A91B1ED8F}" name="UNIDAD DE MEDIDA">
      <calculatedColumnFormula>IFERROR(VLOOKUP("UD",'[1]Informacion '!P:Q,2,FALSE),"")</calculatedColumnFormula>
    </tableColumn>
    <tableColumn id="4" xr3:uid="{D5B1B22F-8A10-4CB3-8F9C-809D8BC63EF6}" name="CANTIDAD TOTAL ESTIMADA"/>
    <tableColumn id="5" xr3:uid="{7523E403-1953-4D55-88EE-791C68358066}" name="PRECIO UNITARIO ESTIMADO"/>
    <tableColumn id="6" xr3:uid="{1E7E9E47-CB8C-4A9D-BFF4-A115797C8910}"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06D9FF7-BAF9-4623-9272-7401B1F6E602}" name="Table99" displayName="Table99" ref="A1704:F1707" totalsRowShown="0">
  <tableColumns count="6">
    <tableColumn id="1" xr3:uid="{4D5CBC57-B033-44CE-98A9-369865B41B88}" name="CÓDIGO CATÁLOGO"/>
    <tableColumn id="2" xr3:uid="{0A37027E-0826-46AD-A28F-80BD349F0B1F}" name="ARTÍCULO"/>
    <tableColumn id="3" xr3:uid="{116BABC2-590A-41DF-B319-A5DDF9C66601}" name="UNIDAD DE MEDIDA">
      <calculatedColumnFormula>IFERROR(VLOOKUP("UD",'[1]Informacion '!P:Q,2,FALSE),"")</calculatedColumnFormula>
    </tableColumn>
    <tableColumn id="4" xr3:uid="{07F5881D-F76B-48DE-B1E7-8E41241FBEC7}" name="CANTIDAD TOTAL ESTIMADA"/>
    <tableColumn id="5" xr3:uid="{B3721A03-28A3-49B5-90A4-BE89AD32DB61}" name="PRECIO UNITARIO ESTIMADO"/>
    <tableColumn id="6" xr3:uid="{B743BBD4-0D90-493F-9549-31847AB06653}"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8B8CBCE-1AD2-458D-9118-955C2BF46DD7}" name="Table55" displayName="Table55" ref="A739:F810" totalsRowShown="0">
  <tableColumns count="6">
    <tableColumn id="1" xr3:uid="{2C29A871-B634-4015-AA42-AE37B664B0F8}" name="CÓDIGO CATÁLOGO"/>
    <tableColumn id="2" xr3:uid="{1BD2B39F-4B7A-4285-A6C4-A1272F1EF7EE}" name="ARTÍCULO"/>
    <tableColumn id="3" xr3:uid="{DC2FA1BE-4BE1-4B0C-981B-C135D89215F5}" name="UNIDAD DE MEDIDA"/>
    <tableColumn id="4" xr3:uid="{DB2E74B4-8BB2-4326-B23F-2378D7F2EEBB}" name="CANTIDAD TOTAL ESTIMADA"/>
    <tableColumn id="5" xr3:uid="{66FC516C-3BE8-4DCB-9FD7-03AED32D1E3E}" name="PRECIO UNITARIO ESTIMADO"/>
    <tableColumn id="6" xr3:uid="{CD4B4A4C-AFF6-4D60-B158-49C3567454FC}"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73400DB-268A-40F6-A6A8-885D179922F4}" name="Table45" displayName="Table45" ref="A571:F573" totalsRowShown="0">
  <tableColumns count="6">
    <tableColumn id="1" xr3:uid="{759057AB-31B8-4FE5-9EB2-B99CE4881588}" name="CÓDIGO CATÁLOGO"/>
    <tableColumn id="2" xr3:uid="{09067880-C021-4691-8FB3-A2BC2F83BEB7}" name="ARTÍCULO">
      <calculatedColumnFormula>IFERROR(INDEX(UNSPSCDes,MATCH(INDIRECT(ADDRESS(ROW(),COLUMN()-1,4)),UNSPSCCode,0)),IF(INDIRECT(ADDRESS(ROW(),COLUMN()-1,4))="90101802","Servicios de comidas a domicilio",""))</calculatedColumnFormula>
    </tableColumn>
    <tableColumn id="3" xr3:uid="{20024152-EA99-40B3-92E3-740592861EDE}" name="UNIDAD DE MEDIDA">
      <calculatedColumnFormula>IFERROR(VLOOKUP("UD",'[1]Informacion '!P:Q,2,FALSE),"")</calculatedColumnFormula>
    </tableColumn>
    <tableColumn id="4" xr3:uid="{558FE6E7-FC3B-4A91-B076-5E868792A7E3}" name="CANTIDAD TOTAL ESTIMADA"/>
    <tableColumn id="5" xr3:uid="{355482A9-5300-4C0A-B4F3-6C45AD9DDE3B}" name="PRECIO UNITARIO ESTIMADO"/>
    <tableColumn id="6" xr3:uid="{62924DBA-FF44-4541-A272-88CDFC9CEF5C}"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577E2FC-DF94-42B8-BEC9-E5767707F161}" name="Table15" displayName="Table15" ref="A158:F160" totalsRowShown="0">
  <tableColumns count="6">
    <tableColumn id="1" xr3:uid="{D8984EFE-6CA9-490A-BA96-33F1A093E78B}" name="CÓDIGO CATÁLOGO"/>
    <tableColumn id="2" xr3:uid="{652AE5D9-275B-4AAF-940E-BB5B33157806}" name="ARTÍCULO"/>
    <tableColumn id="3" xr3:uid="{6B674020-71B8-4192-AFEA-3A584F581457}" name="UNIDAD DE MEDIDA">
      <calculatedColumnFormula>IFERROR(VLOOKUP("UD",'[1]Informacion '!P:Q,2,FALSE),"")</calculatedColumnFormula>
    </tableColumn>
    <tableColumn id="4" xr3:uid="{C03BD8A6-BEFD-4FC8-9BE9-B5DA4B941CFA}" name="CANTIDAD TOTAL ESTIMADA"/>
    <tableColumn id="5" xr3:uid="{05CC046E-6353-4127-841F-20C8A896C465}" name="PRECIO UNITARIO ESTIMADO"/>
    <tableColumn id="6" xr3:uid="{BBB9784A-A27F-4F9C-87F9-D9B3D8BDF60D}"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71A5972-8661-486F-AC79-23540CBCFCF2}" name="Table48" displayName="Table48" ref="A606:F627" totalsRowShown="0">
  <tableColumns count="6">
    <tableColumn id="1" xr3:uid="{D74BD2FA-665D-4D9F-8746-03DF4F2406A9}" name="CÓDIGO CATÁLOGO"/>
    <tableColumn id="2" xr3:uid="{22DD185D-9FED-4233-8EBB-D1D4CC0DB438}" name="ARTÍCULO"/>
    <tableColumn id="3" xr3:uid="{3F4E90A3-BCB9-437A-98F1-68AC3CED2745}" name="UNIDAD DE MEDIDA"/>
    <tableColumn id="4" xr3:uid="{BE7B937C-FB63-4318-A8B1-400CBFA338D0}" name="CANTIDAD TOTAL ESTIMADA"/>
    <tableColumn id="5" xr3:uid="{6C6A43B9-C07D-49D8-B9B3-63D64A42AEFC}" name="PRECIO UNITARIO ESTIMADO"/>
    <tableColumn id="6" xr3:uid="{BA160C0A-9578-4C0C-AF0C-5B1620272D5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40DFD11-CD09-4DDF-A456-616F20DF5C0B}" name="Table79" displayName="Table79" ref="A1433:F1438" totalsRowShown="0">
  <tableColumns count="6">
    <tableColumn id="1" xr3:uid="{AAA24193-80A6-47C9-BA29-3DC2C7C4FE30}" name="CÓDIGO CATÁLOGO"/>
    <tableColumn id="2" xr3:uid="{46F31F1C-A3FF-46C5-ADF1-9224E85B8FF9}" name="ARTÍCULO">
      <calculatedColumnFormula>IFERROR(INDEX(UNSPSCDes,MATCH(INDIRECT(ADDRESS(ROW(),COLUMN()-1,4)),UNSPSCCode,0)),IF(INDIRECT(ADDRESS(ROW(),COLUMN()-1,4))="91111502","Servicios de lavandería",""))</calculatedColumnFormula>
    </tableColumn>
    <tableColumn id="3" xr3:uid="{7505C947-C9BC-4332-931A-2AD878245FF0}" name="UNIDAD DE MEDIDA">
      <calculatedColumnFormula>IFERROR(VLOOKUP("UD",'[1]Informacion '!P:Q,2,FALSE),"")</calculatedColumnFormula>
    </tableColumn>
    <tableColumn id="4" xr3:uid="{0696B18B-7480-476B-AF8C-3B238E23E08C}" name="CANTIDAD TOTAL ESTIMADA"/>
    <tableColumn id="5" xr3:uid="{61AF86F8-C63D-448C-B86F-AB91FDDC49DD}" name="PRECIO UNITARIO ESTIMADO"/>
    <tableColumn id="6" xr3:uid="{566A8039-2449-4D13-BFBC-C5BB39029325}"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FCE84AD-25C5-4E77-A5DC-93E4F62F0FA0}" name="Table90" displayName="Table90" ref="A1593:F1600" totalsRowShown="0">
  <tableColumns count="6">
    <tableColumn id="1" xr3:uid="{78A53CAA-2BF7-429E-A4C9-DADAB277850D}" name="CÓDIGO CATÁLOGO"/>
    <tableColumn id="2" xr3:uid="{57EF4543-16EB-42EE-810D-CDFB8B4E8ABA}" name="ARTÍCULO"/>
    <tableColumn id="3" xr3:uid="{F8701451-573F-4AF3-804E-7EC9A3316A78}" name="UNIDAD DE MEDIDA"/>
    <tableColumn id="4" xr3:uid="{4ED96657-2B06-4A7A-B5F9-401BD88603FD}" name="CANTIDAD TOTAL ESTIMADA"/>
    <tableColumn id="5" xr3:uid="{5F5D6DB2-989F-43DE-B344-119B539F2966}" name="PRECIO UNITARIO ESTIMADO"/>
    <tableColumn id="6" xr3:uid="{D207D402-4516-4226-ACD1-9CAF4011F933}"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F19BE9B-4503-4AF5-A4ED-5BE716139144}" name="Table21" displayName="Table21" ref="A226:F227" totalsRowShown="0">
  <tableColumns count="6">
    <tableColumn id="1" xr3:uid="{40DE92F7-ECB1-428F-8703-DABF20B287E5}" name="CÓDIGO CATÁLOGO"/>
    <tableColumn id="2" xr3:uid="{19CC2D26-D4B0-4BD2-9816-902902946CFC}" name="ARTÍCULO">
      <calculatedColumnFormula>IFERROR(INDEX(UNSPSCDes,MATCH(INDIRECT(ADDRESS(ROW(),COLUMN()-1,4)),UNSPSCCode,0)),IF(INDIRECT(ADDRESS(ROW(),COLUMN()-1,4))="26111701","Baterías recargables",""))</calculatedColumnFormula>
    </tableColumn>
    <tableColumn id="3" xr3:uid="{E81D3854-F23E-460F-BA98-582610B37DF0}" name="UNIDAD DE MEDIDA">
      <calculatedColumnFormula>IFERROR(VLOOKUP("UD",'[1]Informacion '!P:Q,2,FALSE),"")</calculatedColumnFormula>
    </tableColumn>
    <tableColumn id="4" xr3:uid="{F802BFF9-6E6A-417E-BCEA-04C75B3F9687}" name="CANTIDAD TOTAL ESTIMADA"/>
    <tableColumn id="5" xr3:uid="{2B1F2923-AE62-494D-AFAC-CD42E1F55D67}" name="PRECIO UNITARIO ESTIMADO"/>
    <tableColumn id="6" xr3:uid="{A0F7506E-994A-435D-96B8-C7FECB8B92FB}"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A07DF50-E046-4969-B14E-849F842671AB}" name="Table36" displayName="Table36" ref="A457:F460" totalsRowShown="0">
  <tableColumns count="6">
    <tableColumn id="1" xr3:uid="{3C3DCA97-2FD8-4711-9AA2-E52AA97FE455}" name="CÓDIGO CATÁLOGO"/>
    <tableColumn id="2" xr3:uid="{1BDF3E9F-2D04-4920-BB5D-12FE79D63A8D}" name="ARTÍCULO"/>
    <tableColumn id="3" xr3:uid="{64143C45-DAB3-4CA6-AFE2-6B619ED7F118}" name="UNIDAD DE MEDIDA">
      <calculatedColumnFormula>IFERROR(VLOOKUP("UD",'[1]Informacion '!P:Q,2,FALSE),"")</calculatedColumnFormula>
    </tableColumn>
    <tableColumn id="4" xr3:uid="{C29485F0-9DF0-42E7-BB51-D0D5D0CA162B}" name="CANTIDAD TOTAL ESTIMADA"/>
    <tableColumn id="5" xr3:uid="{999C0C19-8B9C-4224-930B-0ACC1B83A0AE}" name="PRECIO UNITARIO ESTIMADO"/>
    <tableColumn id="6" xr3:uid="{C595F3BD-111C-4328-B4CE-2BC6CE23011F}"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CB4EE62-0615-4286-B71A-D60F6C0F7A82}" name="Table38" displayName="Table38" ref="A481:F483" totalsRowShown="0">
  <tableColumns count="6">
    <tableColumn id="1" xr3:uid="{07E09CD2-0CC6-4BAE-B9F5-D54D0B758E2C}" name="CÓDIGO CATÁLOGO"/>
    <tableColumn id="2" xr3:uid="{69F0B8A3-12D4-4FBE-8730-2ED4F42E376E}" name="ARTÍCULO"/>
    <tableColumn id="3" xr3:uid="{7D0732A9-D167-49FC-A4DF-1CB4E838F2B0}" name="UNIDAD DE MEDIDA">
      <calculatedColumnFormula>IFERROR(VLOOKUP("UD",'[1]Informacion '!P:Q,2,FALSE),"")</calculatedColumnFormula>
    </tableColumn>
    <tableColumn id="4" xr3:uid="{2EA2155A-7D0D-4E4E-8C41-FCF9297DCB50}" name="CANTIDAD TOTAL ESTIMADA"/>
    <tableColumn id="5" xr3:uid="{4F7B3443-EE56-4453-8001-AC7A94CA6781}" name="PRECIO UNITARIO ESTIMADO"/>
    <tableColumn id="6" xr3:uid="{375643BC-3D5A-40FF-B408-4A369B273A85}"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7234649-2D7D-4DDF-A223-B24B4F08E147}" name="Table92" displayName="Table92" ref="A1621:F1622" totalsRowShown="0">
  <tableColumns count="6">
    <tableColumn id="1" xr3:uid="{FA064551-4DFE-4F3B-BF91-FAF88089680E}" name="CÓDIGO CATÁLOGO"/>
    <tableColumn id="2" xr3:uid="{8BC072D9-D500-4058-9F44-C787646F064B}" name="ARTÍCULO">
      <calculatedColumnFormula>IFERROR(INDEX(UNSPSCDes,MATCH(INDIRECT(ADDRESS(ROW(),COLUMN()-1,4)),UNSPSCCode,0)),IF(INDIRECT(ADDRESS(ROW(),COLUMN()-1,4))="78180103","Servicios de cambio de fluidos de aceite o de la transmisión",""))</calculatedColumnFormula>
    </tableColumn>
    <tableColumn id="3" xr3:uid="{31833C1B-A39E-48A2-9032-3138747E2186}" name="UNIDAD DE MEDIDA">
      <calculatedColumnFormula>IFERROR(VLOOKUP("UD",'[1]Informacion '!P:Q,2,FALSE),"")</calculatedColumnFormula>
    </tableColumn>
    <tableColumn id="4" xr3:uid="{6E91D1AD-7A54-4C12-8531-42EA849EDCFF}" name="CANTIDAD TOTAL ESTIMADA"/>
    <tableColumn id="5" xr3:uid="{EDE5CBD8-15F0-4396-9671-654DA51E0768}" name="PRECIO UNITARIO ESTIMADO"/>
    <tableColumn id="6" xr3:uid="{909354E5-C066-4AD1-92CA-956DF3631C40}"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F2EDF49-003E-4365-98CE-F5B69AED3CE4}" name="Table8" displayName="Table8" ref="A70:F72" totalsRowShown="0">
  <tableColumns count="6">
    <tableColumn id="1" xr3:uid="{A607284B-3523-4F0E-A11A-CE375C0EB241}" name="CÓDIGO CATÁLOGO"/>
    <tableColumn id="2" xr3:uid="{4DD20C34-6C90-4A71-AEED-B8AE0F3D58E0}" name="ARTÍCULO"/>
    <tableColumn id="3" xr3:uid="{6A01E883-B12D-4AD8-8E79-B7A51AF7B2E6}" name="UNIDAD DE MEDIDA">
      <calculatedColumnFormula>IFERROR(VLOOKUP("UD",'[1]Informacion '!P:Q,2,FALSE),"")</calculatedColumnFormula>
    </tableColumn>
    <tableColumn id="4" xr3:uid="{79A0314D-C12D-4C21-B1C5-0A5FC7CD95A3}" name="CANTIDAD TOTAL ESTIMADA"/>
    <tableColumn id="5" xr3:uid="{D81BC3CB-911E-48BD-B040-42DC989F2813}" name="PRECIO UNITARIO ESTIMADO"/>
    <tableColumn id="6" xr3:uid="{A41C61F6-CF27-423C-97A4-711B3CAAA745}"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1A0CC00-2D22-48F9-A606-03EB34C5D2E7}" name="Table88" displayName="Table88" ref="A1559:F1567" totalsRowShown="0">
  <tableColumns count="6">
    <tableColumn id="1" xr3:uid="{4F9A8683-34F8-4DD6-AF05-E8BE3E64C580}" name="CÓDIGO CATÁLOGO"/>
    <tableColumn id="2" xr3:uid="{F4823809-383B-421D-A1B7-91945ADB1515}" name="ARTÍCULO"/>
    <tableColumn id="3" xr3:uid="{91644790-3DCD-4326-A43A-061B5B5B3065}" name="UNIDAD DE MEDIDA"/>
    <tableColumn id="4" xr3:uid="{F72C8EA3-A248-4A37-9296-B38106199EC7}" name="CANTIDAD TOTAL ESTIMADA"/>
    <tableColumn id="5" xr3:uid="{AF09F7FD-36FA-47E7-B902-A8F868695BE4}" name="PRECIO UNITARIO ESTIMADO"/>
    <tableColumn id="6" xr3:uid="{6CA44D61-2FC4-46CA-A975-D97F1A780DA1}"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676F59E-1D57-4097-B90B-A09A6FBCBF4B}" name="Table22" displayName="Table22" ref="A237:F248" totalsRowShown="0">
  <tableColumns count="6">
    <tableColumn id="1" xr3:uid="{D7CBA19B-68FF-437A-985F-9E7334C76FFF}" name="CÓDIGO CATÁLOGO"/>
    <tableColumn id="2" xr3:uid="{CC28DDEB-A30E-4070-B452-98052CF01A6B}" name="ARTÍCULO"/>
    <tableColumn id="3" xr3:uid="{AAB44BE7-70DA-4FDD-95AE-C89F177849F6}" name="UNIDAD DE MEDIDA"/>
    <tableColumn id="4" xr3:uid="{13B37B99-1C21-47F6-8362-A2452EBFE049}" name="CANTIDAD TOTAL ESTIMADA"/>
    <tableColumn id="5" xr3:uid="{8EB62289-FAF6-45DC-B89F-D15895B5A135}" name="PRECIO UNITARIO ESTIMADO"/>
    <tableColumn id="6" xr3:uid="{3C8284F0-C6CF-4A8D-AFF4-EB18E19BD4F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C0A7A7B-42C7-445F-92B8-D2EFB8684C1E}" name="Table106" displayName="Table106" ref="A1816:F1827" totalsRowShown="0">
  <tableColumns count="6">
    <tableColumn id="1" xr3:uid="{1EB7F6FC-4E90-4734-B1F7-9A4DC1A077AE}" name="CÓDIGO CATÁLOGO"/>
    <tableColumn id="2" xr3:uid="{7D68DA80-EFFF-4592-9869-8330127BAF26}" name="ARTÍCULO"/>
    <tableColumn id="3" xr3:uid="{4A94F097-BE36-423F-919F-0BF04B88F926}" name="UNIDAD DE MEDIDA"/>
    <tableColumn id="4" xr3:uid="{35716A6C-4F8C-4382-B101-D65B35D6AA21}" name="CANTIDAD TOTAL ESTIMADA"/>
    <tableColumn id="5" xr3:uid="{A966913D-67AA-4203-A44F-3D48D7E86141}" name="PRECIO UNITARIO ESTIMADO"/>
    <tableColumn id="6" xr3:uid="{8AEC41F4-B752-4D37-B5E2-C47B07C89135}"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D0D4AE2-870B-4F95-9E40-0794A70C276E}" name="Table34" displayName="Table34" ref="A419:F428" totalsRowShown="0">
  <tableColumns count="6">
    <tableColumn id="1" xr3:uid="{AB699F24-77BA-4ADE-9077-4B542EC12E22}" name="CÓDIGO CATÁLOGO"/>
    <tableColumn id="2" xr3:uid="{64AF6295-77A7-44A3-A134-77AC37EABB59}" name="ARTÍCULO">
      <calculatedColumnFormula>IFERROR(INDEX(UNSPSCDes,MATCH(INDIRECT(ADDRESS(ROW(),COLUMN()-1,4)),UNSPSCCode,0)),IF(INDIRECT(ADDRESS(ROW(),COLUMN()-1,4))="44103103","Tóner para impresoras o fax",""))</calculatedColumnFormula>
    </tableColumn>
    <tableColumn id="3" xr3:uid="{412F7132-EADA-4547-B44B-F07C073C6717}" name="UNIDAD DE MEDIDA">
      <calculatedColumnFormula>IFERROR(VLOOKUP("UD",'[1]Informacion '!P:Q,2,FALSE),"")</calculatedColumnFormula>
    </tableColumn>
    <tableColumn id="4" xr3:uid="{4CC2A5A2-2458-4D85-AD92-AAD00D277BB4}" name="CANTIDAD TOTAL ESTIMADA"/>
    <tableColumn id="5" xr3:uid="{953E39B1-DC34-4DD7-995A-4FAC592CAA5E}" name="PRECIO UNITARIO ESTIMADO"/>
    <tableColumn id="6" xr3:uid="{23B69955-6B0A-48CB-809F-4F0AF6296EAB}"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90EE39-9A53-4574-9C07-ED9CF5BCB14C}" name="Table94" displayName="Table94" ref="A1643:F1644" totalsRowShown="0">
  <tableColumns count="6">
    <tableColumn id="1" xr3:uid="{2BC2D196-D3CA-4A70-BFAC-A4BBB56A98B2}" name="CÓDIGO CATÁLOGO"/>
    <tableColumn id="2" xr3:uid="{7902A6EC-F4A0-4698-928C-164D607CC33C}" name="ARTÍCULO">
      <calculatedColumnFormula>IFERROR(INDEX(UNSPSCDes,MATCH(INDIRECT(ADDRESS(ROW(),COLUMN()-1,4)),UNSPSCCode,0)),IF(INDIRECT(ADDRESS(ROW(),COLUMN()-1,4))="78180103","Servicios de cambio de fluidos de aceite o de la transmisión",""))</calculatedColumnFormula>
    </tableColumn>
    <tableColumn id="3" xr3:uid="{C40CB57B-DA0A-444C-ADC4-8E6335B43C00}" name="UNIDAD DE MEDIDA">
      <calculatedColumnFormula>IFERROR(VLOOKUP("UD",'[1]Informacion '!P:Q,2,FALSE),"")</calculatedColumnFormula>
    </tableColumn>
    <tableColumn id="4" xr3:uid="{2C0D5D7C-B333-41D3-86CF-6BE78B0DAE12}" name="CANTIDAD TOTAL ESTIMADA"/>
    <tableColumn id="5" xr3:uid="{5FD2174A-F0B7-4D5C-B7BB-F30625A4F021}" name="PRECIO UNITARIO ESTIMADO"/>
    <tableColumn id="6" xr3:uid="{1964E04E-0ACE-4AB5-BCA2-EB80C13EBC2C}"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42CFF21-0D45-42F7-ADF5-D4C5B099C30A}" name="Table10" displayName="Table10" ref="A101:F102" totalsRowShown="0">
  <tableColumns count="6">
    <tableColumn id="1" xr3:uid="{57515B6F-04EF-49B2-A5F1-0E6140680501}" name="CÓDIGO CATÁLOGO"/>
    <tableColumn id="2" xr3:uid="{456BCC93-A17D-4629-827F-9A724B022058}" name="ARTÍCULO">
      <calculatedColumnFormula>IFERROR(INDEX(UNSPSCDes,MATCH(INDIRECT(ADDRESS(ROW(),COLUMN()-1,4)),UNSPSCCode,0)),IF(INDIRECT(ADDRESS(ROW(),COLUMN()-1,4))="56101522","Sillas de brazos",""))</calculatedColumnFormula>
    </tableColumn>
    <tableColumn id="3" xr3:uid="{BC5EF91E-59FF-42C1-9BA9-864391E22E07}" name="UNIDAD DE MEDIDA">
      <calculatedColumnFormula>IFERROR(VLOOKUP("UD",'[1]Informacion '!P:Q,2,FALSE),"")</calculatedColumnFormula>
    </tableColumn>
    <tableColumn id="4" xr3:uid="{13F2F89C-3FFE-4C2F-9E0F-1F04C6C9C210}" name="CANTIDAD TOTAL ESTIMADA"/>
    <tableColumn id="5" xr3:uid="{DFF42E9C-6B87-4E86-B70E-AE719681AED4}" name="PRECIO UNITARIO ESTIMADO"/>
    <tableColumn id="6" xr3:uid="{E75B834E-1C3A-4125-823D-DCFA4229AB8E}"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90AB716-9455-4D31-A26E-C4AE1709AF74}" name="Table64" displayName="Table64" ref="A1223:F1234" totalsRowShown="0">
  <tableColumns count="6">
    <tableColumn id="1" xr3:uid="{37525EE4-76E6-4538-A539-1B8683875F76}" name="CÓDIGO CATÁLOGO"/>
    <tableColumn id="2" xr3:uid="{330E63F7-5415-4774-B967-F653921F4997}" name="ARTÍCULO"/>
    <tableColumn id="3" xr3:uid="{61774563-5FDB-4B59-AC76-4BA2FD42B747}" name="UNIDAD DE MEDIDA"/>
    <tableColumn id="4" xr3:uid="{EAB1C580-00A0-4BE5-824A-0357ADF78F15}" name="CANTIDAD TOTAL ESTIMADA"/>
    <tableColumn id="5" xr3:uid="{467B2AC8-E2C1-42FF-827A-230072813982}" name="PRECIO UNITARIO ESTIMADO"/>
    <tableColumn id="6" xr3:uid="{986F5502-A9E9-4A9F-AB9D-3A469E8422C1}"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EAB43F12-8787-4EB9-8A5A-188A96560EB6}" name="Table60" displayName="Table60" ref="A1088:F1116" totalsRowShown="0">
  <tableColumns count="6">
    <tableColumn id="1" xr3:uid="{EFF82E02-AD9E-4101-86AC-09AF5DC645F8}" name="CÓDIGO CATÁLOGO"/>
    <tableColumn id="2" xr3:uid="{64F211F2-3841-4698-885E-26F447F1F243}" name="ARTÍCULO"/>
    <tableColumn id="3" xr3:uid="{7DCA9BF7-5D23-45AA-83AA-9BD27A9DF179}" name="UNIDAD DE MEDIDA"/>
    <tableColumn id="4" xr3:uid="{1E006952-A116-4B53-BB08-60E20DF8564A}" name="CANTIDAD TOTAL ESTIMADA"/>
    <tableColumn id="5" xr3:uid="{FA753832-96EA-4381-A123-361C770F3080}" name="PRECIO UNITARIO ESTIMADO"/>
    <tableColumn id="6" xr3:uid="{ACC662A4-395F-4768-AFA3-D4F3FBE6CA71}"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5AB1165-03F6-46E6-BE8B-6E5276BCE079}" name="Table46" displayName="Table46" ref="A583:F585" totalsRowShown="0">
  <tableColumns count="6">
    <tableColumn id="1" xr3:uid="{22498334-E09F-4BE7-962F-D6CA457B52A5}" name="CÓDIGO CATÁLOGO"/>
    <tableColumn id="2" xr3:uid="{F11FF83C-3D85-45CE-AD20-1088C73B3A07}" name="ARTÍCULO">
      <calculatedColumnFormula>IFERROR(INDEX(UNSPSCDes,MATCH(INDIRECT(ADDRESS(ROW(),COLUMN()-1,4)),UNSPSCCode,0)),IF(INDIRECT(ADDRESS(ROW(),COLUMN()-1,4))="14111608","Certificados de regalo",""))</calculatedColumnFormula>
    </tableColumn>
    <tableColumn id="3" xr3:uid="{F9CB344E-AF68-448C-BD4C-2D9450C34E8B}" name="UNIDAD DE MEDIDA">
      <calculatedColumnFormula>IFERROR(VLOOKUP("UD",'[1]Informacion '!P:Q,2,FALSE),"")</calculatedColumnFormula>
    </tableColumn>
    <tableColumn id="4" xr3:uid="{26C18B1C-6AF5-4F33-857E-4DDCE9B87E67}" name="CANTIDAD TOTAL ESTIMADA"/>
    <tableColumn id="5" xr3:uid="{94ADBCE6-13B0-4125-93DB-DB7CA9085D19}" name="PRECIO UNITARIO ESTIMADO"/>
    <tableColumn id="6" xr3:uid="{3DC52FA8-5EAC-4654-A5D4-B896A229C76C}"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71C37796-A0CC-4233-8488-C7DFB5779B4B}" name="Table108" displayName="Table108" ref="A1849:F1850" totalsRowShown="0">
  <tableColumns count="6">
    <tableColumn id="1" xr3:uid="{B7B4DEB0-BDF8-4C15-81C9-93431CC6E9D8}" name="CÓDIGO CATÁLOGO"/>
    <tableColumn id="2" xr3:uid="{B931F3BF-DEBF-45CB-ACBC-C8AC1AAAEE0D}" name="ARTÍCULO">
      <calculatedColumnFormula>IFERROR(INDEX(UNSPSCDes,MATCH(INDIRECT(ADDRESS(ROW(),COLUMN()-1,4)),UNSPSCCode,0)),IF(INDIRECT(ADDRESS(ROW(),COLUMN()-1,4))="10161707","Arreglo de flores cortadas",""))</calculatedColumnFormula>
    </tableColumn>
    <tableColumn id="3" xr3:uid="{CD3DE553-73D3-4EF7-BF96-E46391FFD8CB}" name="UNIDAD DE MEDIDA">
      <calculatedColumnFormula>IFERROR(VLOOKUP("UD",'[1]Informacion '!P:Q,2,FALSE),"")</calculatedColumnFormula>
    </tableColumn>
    <tableColumn id="4" xr3:uid="{5D991C59-4B33-490B-9425-1878EFBF31F1}" name="CANTIDAD TOTAL ESTIMADA"/>
    <tableColumn id="5" xr3:uid="{4F1EA551-50A5-45B9-B07B-7984B51DDA13}" name="PRECIO UNITARIO ESTIMADO"/>
    <tableColumn id="6" xr3:uid="{798B1DC1-29D8-4F9A-93D2-5D711D969EE2}"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A8CA365-B7B7-4DA7-8905-7C53AA098184}" name="Table84" displayName="Table84" ref="A1501:F1503" totalsRowShown="0">
  <tableColumns count="6">
    <tableColumn id="1" xr3:uid="{75CDF5DA-4AFF-4C4C-A820-F593142BD38C}" name="CÓDIGO CATÁLOGO"/>
    <tableColumn id="2" xr3:uid="{737E74AC-A1C7-43A5-83A2-23EF5710A117}" name="ARTÍCULO">
      <calculatedColumnFormula>IFERROR(INDEX(UNSPSCDes,MATCH(INDIRECT(ADDRESS(ROW(),COLUMN()-1,4)),UNSPSCCode,0)),IF(INDIRECT(ADDRESS(ROW(),COLUMN()-1,4))="72102602","Instalación de ventanas, puertas o dispositivos",""))</calculatedColumnFormula>
    </tableColumn>
    <tableColumn id="3" xr3:uid="{D8039FF2-72B0-4F33-96C4-AF6792E49A19}" name="UNIDAD DE MEDIDA">
      <calculatedColumnFormula>IFERROR(VLOOKUP("UD",'[1]Informacion '!P:Q,2,FALSE),"")</calculatedColumnFormula>
    </tableColumn>
    <tableColumn id="4" xr3:uid="{9C420C42-4194-407B-9046-D3E7F5F7BC4E}" name="CANTIDAD TOTAL ESTIMADA"/>
    <tableColumn id="5" xr3:uid="{B5E61648-927D-499C-BA5B-175CB98B414C}" name="PRECIO UNITARIO ESTIMADO"/>
    <tableColumn id="6" xr3:uid="{7027FC0F-91F6-44AD-8203-D6470266167A}"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AEEC03A-905F-40E1-9E5A-6E0F1A4E715A}" name="Table49" displayName="Table49" ref="A637:F646" totalsRowShown="0">
  <tableColumns count="6">
    <tableColumn id="1" xr3:uid="{B3AD9BED-4BB3-4D04-90B8-D3F339778793}" name="CÓDIGO CATÁLOGO"/>
    <tableColumn id="2" xr3:uid="{71479E8E-ADC7-4167-AAD6-045254AE8FBB}" name="ARTÍCULO"/>
    <tableColumn id="3" xr3:uid="{AC1BCF7C-0403-41F8-993B-96A2A3CABB79}" name="UNIDAD DE MEDIDA">
      <calculatedColumnFormula>IFERROR(VLOOKUP("UD",'[1]Informacion '!P:Q,2,FALSE),"")</calculatedColumnFormula>
    </tableColumn>
    <tableColumn id="4" xr3:uid="{FDE810FF-B411-4D8A-A796-CB65720E738D}" name="CANTIDAD TOTAL ESTIMADA"/>
    <tableColumn id="5" xr3:uid="{67CE387E-E954-4EF4-9BD3-E5FFA87942E1}" name="PRECIO UNITARIO ESTIMADO"/>
    <tableColumn id="6" xr3:uid="{8E332454-4E0E-462E-821D-7B6F5542D679}"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1ECEACA-CDBD-4376-9E4D-DB01DF6BC3BF}" name="Table77" displayName="Table77" ref="A1405:F1408" totalsRowShown="0">
  <tableColumns count="6">
    <tableColumn id="1" xr3:uid="{0C1DB36A-14CD-4ED7-AADC-E9FA69F40EEE}" name="CÓDIGO CATÁLOGO"/>
    <tableColumn id="2" xr3:uid="{7C14E863-A4D8-4FFD-BFE0-D98B99997C24}" name="ARTÍCULO"/>
    <tableColumn id="3" xr3:uid="{9C0C6C44-CE42-45AA-9264-C641A6C9FC66}" name="UNIDAD DE MEDIDA">
      <calculatedColumnFormula>IFERROR(VLOOKUP("UD",'[1]Informacion '!P:Q,2,FALSE),"")</calculatedColumnFormula>
    </tableColumn>
    <tableColumn id="4" xr3:uid="{1173B1D6-384A-45DE-917C-8A35AE9E1D9B}" name="CANTIDAD TOTAL ESTIMADA"/>
    <tableColumn id="5" xr3:uid="{346307F6-C4F3-40B4-AD0E-66539588559F}" name="PRECIO UNITARIO ESTIMADO"/>
    <tableColumn id="6" xr3:uid="{44D177A2-2257-4ADA-A9CF-FBCEEFF2DF90}"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C648BE1-E404-4CBF-A294-673DB4E07D70}" name="Table78" displayName="Table78" ref="A1418:F1423" totalsRowShown="0">
  <tableColumns count="6">
    <tableColumn id="1" xr3:uid="{1BFDBBE7-8B2C-40BC-BC60-E33EB1EE7FC6}" name="CÓDIGO CATÁLOGO"/>
    <tableColumn id="2" xr3:uid="{C4577857-05CD-451F-A604-C100C493D7EA}" name="ARTÍCULO">
      <calculatedColumnFormula>IFERROR(INDEX(UNSPSCDes,MATCH(INDIRECT(ADDRESS(ROW(),COLUMN()-1,4)),UNSPSCCode,0)),IF(INDIRECT(ADDRESS(ROW(),COLUMN()-1,4))="91111502","Servicios de lavandería",""))</calculatedColumnFormula>
    </tableColumn>
    <tableColumn id="3" xr3:uid="{3F06C5C1-4B60-4B9E-B17E-5BBC976FAC50}" name="UNIDAD DE MEDIDA">
      <calculatedColumnFormula>IFERROR(VLOOKUP("UD",'[1]Informacion '!P:Q,2,FALSE),"")</calculatedColumnFormula>
    </tableColumn>
    <tableColumn id="4" xr3:uid="{34FE0E18-2C47-43B8-AA4C-360E9734F182}" name="CANTIDAD TOTAL ESTIMADA"/>
    <tableColumn id="5" xr3:uid="{C6B73A33-DCE5-4764-A22F-4D8ADDC0E6E7}" name="PRECIO UNITARIO ESTIMADO"/>
    <tableColumn id="6" xr3:uid="{5BB8ED49-0835-46D3-B4F2-F9D8962F1E29}"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05EAE1E-E7CA-459D-BD21-BF70350DC2A1}" name="Table57" displayName="Table57" ref="A895:F963" totalsRowShown="0">
  <tableColumns count="6">
    <tableColumn id="1" xr3:uid="{2ADA4317-6EC7-4C83-98CE-8BA6BC5CEB4E}" name="CÓDIGO CATÁLOGO"/>
    <tableColumn id="2" xr3:uid="{7D7E0AA5-E645-4FC8-9271-CDF920926EEC}" name="ARTÍCULO"/>
    <tableColumn id="3" xr3:uid="{83D47ED3-4F8E-4563-8AED-9FD62256C372}" name="UNIDAD DE MEDIDA"/>
    <tableColumn id="4" xr3:uid="{AD3E2283-4CBB-424C-BCCF-41A9271FB49B}" name="CANTIDAD TOTAL ESTIMADA"/>
    <tableColumn id="5" xr3:uid="{5FBD1588-EE1D-476A-BF50-8130B467F533}" name="PRECIO UNITARIO ESTIMADO"/>
    <tableColumn id="6" xr3:uid="{309D5AD4-62DA-4BD4-8ED8-BDFD20CD8ED0}"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32F6AA-C74F-45E7-917A-C6C4266A4590}" name="Table28" displayName="Table28" ref="A337:F338" totalsRowShown="0">
  <tableColumns count="6">
    <tableColumn id="1" xr3:uid="{7231F0AF-72C7-442B-ADA7-4380D61310F2}" name="CÓDIGO CATÁLOGO"/>
    <tableColumn id="2" xr3:uid="{73A60806-D539-4D0B-9318-E2AEAFAC29DF}" name="ARTÍCULO">
      <calculatedColumnFormula>IFERROR(INDEX(UNSPSCDes,MATCH(INDIRECT(ADDRESS(ROW(),COLUMN()-1,4)),UNSPSCCode,0)),IF(INDIRECT(ADDRESS(ROW(),COLUMN()-1,4))="81111812","Servicio de mantenimiento o soporte del hardware del computador",""))</calculatedColumnFormula>
    </tableColumn>
    <tableColumn id="3" xr3:uid="{1DF6D5A8-FCCB-4996-A50B-6A3537A49467}" name="UNIDAD DE MEDIDA">
      <calculatedColumnFormula>IFERROR(VLOOKUP("UD",'[1]Informacion '!P:Q,2,FALSE),"")</calculatedColumnFormula>
    </tableColumn>
    <tableColumn id="4" xr3:uid="{4019AB30-F3DD-4909-949D-7849AE2FB9A3}" name="CANTIDAD TOTAL ESTIMADA"/>
    <tableColumn id="5" xr3:uid="{671551A4-1F7E-45F1-BA64-5BD8DA97A870}" name="PRECIO UNITARIO ESTIMADO"/>
    <tableColumn id="6" xr3:uid="{841A4F1F-320F-4E15-A3FD-415FE9A49998}"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32B95B56-2ADC-4886-A8DB-B866214E7D73}" name="Table85" displayName="Table85" ref="A1513:F1517" totalsRowShown="0">
  <tableColumns count="6">
    <tableColumn id="1" xr3:uid="{987826AC-9529-4530-A063-7512B8FF31B0}" name="CÓDIGO CATÁLOGO"/>
    <tableColumn id="2" xr3:uid="{12D2372F-0FB2-4F94-A8FB-2F5E35608648}" name="ARTÍCULO"/>
    <tableColumn id="3" xr3:uid="{2577FF87-777A-44C2-93EC-2B6895F377F9}" name="UNIDAD DE MEDIDA">
      <calculatedColumnFormula>IFERROR(VLOOKUP("UD",'[1]Informacion '!P:Q,2,FALSE),"")</calculatedColumnFormula>
    </tableColumn>
    <tableColumn id="4" xr3:uid="{B294AB83-98DF-429B-B9F6-AF121E917591}" name="CANTIDAD TOTAL ESTIMADA"/>
    <tableColumn id="5" xr3:uid="{5FB32698-CA9C-4316-A0DB-E27EC0C95FAF}" name="PRECIO UNITARIO ESTIMADO"/>
    <tableColumn id="6" xr3:uid="{6459D2D8-BD71-4A1E-B1FE-0AA24C7A1F52}"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ED7C40A-886B-4A03-8F08-3936C01E09E1}" name="Table73" displayName="Table73" ref="A1360:F1361" totalsRowShown="0">
  <tableColumns count="6">
    <tableColumn id="1" xr3:uid="{5C6E350A-45ED-4011-8D79-ACC8C50FC4DE}" name="CÓDIGO CATÁLOGO"/>
    <tableColumn id="2" xr3:uid="{2699DB95-138A-4618-A310-230CFF804820}" name="ARTÍCULO">
      <calculatedColumnFormula>IFERROR(INDEX(UNSPSCDes,MATCH(INDIRECT(ADDRESS(ROW(),COLUMN()-1,4)),UNSPSCCode,0)),IF(INDIRECT(ADDRESS(ROW(),COLUMN()-1,4))="86101705","Capacitación administrativa",""))</calculatedColumnFormula>
    </tableColumn>
    <tableColumn id="3" xr3:uid="{7CDE92F0-4E28-4CA1-9024-285201D2684F}" name="UNIDAD DE MEDIDA">
      <calculatedColumnFormula>IFERROR(VLOOKUP("UD",'[1]Informacion '!P:Q,2,FALSE),"")</calculatedColumnFormula>
    </tableColumn>
    <tableColumn id="4" xr3:uid="{3545EA25-E81F-4040-95C9-A10F47CF23D1}" name="CANTIDAD TOTAL ESTIMADA"/>
    <tableColumn id="5" xr3:uid="{B52661EF-7D70-470E-9644-55D2AB16727E}" name="PRECIO UNITARIO ESTIMADO"/>
    <tableColumn id="6" xr3:uid="{55A52B83-8D25-48CC-A79C-134B636251C8}"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1B01E51-4C56-4DA7-A5CD-E3B9A8AE9278}" name="Table5" displayName="Table5" ref="A34:F36" totalsRowShown="0">
  <tableColumns count="6">
    <tableColumn id="1" xr3:uid="{0826FE82-87CE-4F62-96B7-7F7D1787BB70}" name="CÓDIGO CATÁLOGO"/>
    <tableColumn id="2" xr3:uid="{B4BEA549-8391-490D-967B-F74F96D34B19}" name="ARTÍCULO"/>
    <tableColumn id="3" xr3:uid="{D716BE30-5016-450C-B932-D9C5261566E2}" name="UNIDAD DE MEDIDA">
      <calculatedColumnFormula>IFERROR(VLOOKUP("GAL",'[1]Informacion '!P:Q,2,FALSE),"")</calculatedColumnFormula>
    </tableColumn>
    <tableColumn id="4" xr3:uid="{0E7B57D0-3217-48A3-AB50-2B03A1F2359B}" name="CANTIDAD TOTAL ESTIMADA"/>
    <tableColumn id="5" xr3:uid="{BD799F0C-4914-4AA6-B3D3-EDE14CC5CD5B}" name="PRECIO UNITARIO ESTIMADO"/>
    <tableColumn id="6" xr3:uid="{FFD7D7F6-2D62-4E5B-8D1B-3D4BF86D07E1}"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57151E8-F048-4C80-BE82-ABAB8F576990}" name="Table102" displayName="Table102" ref="A1741:F1742" totalsRowShown="0">
  <tableColumns count="6">
    <tableColumn id="1" xr3:uid="{1EFC3997-AB79-49F7-BE60-A980EF15E406}" name="CÓDIGO CATÁLOGO"/>
    <tableColumn id="2" xr3:uid="{863E3F3D-5704-44C6-A67A-BE92EF378829}" name="ARTÍCULO">
      <calculatedColumnFormula>IFERROR(INDEX(UNSPSCDes,MATCH(INDIRECT(ADDRESS(ROW(),COLUMN()-1,4)),UNSPSCCode,0)),IF(INDIRECT(ADDRESS(ROW(),COLUMN()-1,4))="81111805","Mantenimiento o soporte de sistemas patentados o autorizados",""))</calculatedColumnFormula>
    </tableColumn>
    <tableColumn id="3" xr3:uid="{32E109E7-D8F9-4791-92D2-697BE9442B47}" name="UNIDAD DE MEDIDA">
      <calculatedColumnFormula>IFERROR(VLOOKUP("UD",'[1]Informacion '!P:Q,2,FALSE),"")</calculatedColumnFormula>
    </tableColumn>
    <tableColumn id="4" xr3:uid="{2F52E88C-446B-464B-8B2C-E8EC62B2205F}" name="CANTIDAD TOTAL ESTIMADA"/>
    <tableColumn id="5" xr3:uid="{D1F0A21A-EA2A-4B54-8A65-F575A61916F8}" name="PRECIO UNITARIO ESTIMADO"/>
    <tableColumn id="6" xr3:uid="{FAE0393F-89D4-488C-93D8-87291A2EED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2A2A5F0-280E-4952-BEF0-2EA934A259FC}" name="Table67" displayName="Table67" ref="A1286:F1294" totalsRowShown="0">
  <tableColumns count="6">
    <tableColumn id="1" xr3:uid="{DC55FA93-AC16-4270-A8CE-21F038EFEFF5}" name="CÓDIGO CATÁLOGO"/>
    <tableColumn id="2" xr3:uid="{40D199E6-3489-4CE9-907B-6334A73B3E16}" name="ARTÍCULO"/>
    <tableColumn id="3" xr3:uid="{8E646192-273B-4F9D-A2D1-7BA8BC3FB60C}" name="UNIDAD DE MEDIDA">
      <calculatedColumnFormula>IFERROR(VLOOKUP("UD",'[1]Informacion '!P:Q,2,FALSE),"")</calculatedColumnFormula>
    </tableColumn>
    <tableColumn id="4" xr3:uid="{5C248F8F-5712-4C8E-A76A-8FF93443EBAA}" name="CANTIDAD TOTAL ESTIMADA"/>
    <tableColumn id="5" xr3:uid="{37045278-58C0-4126-A7EB-FD841953AE41}" name="PRECIO UNITARIO ESTIMADO"/>
    <tableColumn id="6" xr3:uid="{F5F6571A-DC5E-45CB-9F7B-44B3942EDE0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1054323-276F-414C-9075-2A59A3D00C42}" name="Table72" displayName="Table72" ref="A1349:F1350" totalsRowShown="0">
  <tableColumns count="6">
    <tableColumn id="1" xr3:uid="{5A375D6E-6C74-4DC2-A9AF-56958FE74536}" name="CÓDIGO CATÁLOGO"/>
    <tableColumn id="2" xr3:uid="{FD95C470-9150-4F41-BD08-DE325D39D3BB}" name="ARTÍCULO">
      <calculatedColumnFormula>IFERROR(INDEX(UNSPSCDes,MATCH(INDIRECT(ADDRESS(ROW(),COLUMN()-1,4)),UNSPSCCode,0)),IF(INDIRECT(ADDRESS(ROW(),COLUMN()-1,4))="86101705","Capacitación administrativa",""))</calculatedColumnFormula>
    </tableColumn>
    <tableColumn id="3" xr3:uid="{8D7BD428-42F2-4E80-B35A-E924F31C58EF}" name="UNIDAD DE MEDIDA">
      <calculatedColumnFormula>IFERROR(VLOOKUP("UD",'[1]Informacion '!P:Q,2,FALSE),"")</calculatedColumnFormula>
    </tableColumn>
    <tableColumn id="4" xr3:uid="{81058577-8684-458E-93DD-AF370D0FA3C1}" name="CANTIDAD TOTAL ESTIMADA"/>
    <tableColumn id="5" xr3:uid="{08D2737B-FEB3-491B-A8B1-E808906C0297}" name="PRECIO UNITARIO ESTIMADO"/>
    <tableColumn id="6" xr3:uid="{F2DAD4C2-2CA4-4441-A191-E664848651B0}"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59D3E12-94B5-4755-B530-D933D5228BE7}" name="Table105" displayName="Table105" ref="A1795:F1806" totalsRowShown="0">
  <tableColumns count="6">
    <tableColumn id="1" xr3:uid="{B045C47B-499D-4AAE-BF85-ED4DCC65ADA8}" name="CÓDIGO CATÁLOGO"/>
    <tableColumn id="2" xr3:uid="{16AF010B-39C8-4FAC-AEC0-DDB7C65F47AF}" name="ARTÍCULO"/>
    <tableColumn id="3" xr3:uid="{387F297F-B70E-41D2-83CD-BBA014B116C1}" name="UNIDAD DE MEDIDA"/>
    <tableColumn id="4" xr3:uid="{D51B727B-0D13-4D88-9A67-AD89CCF62CA1}" name="CANTIDAD TOTAL ESTIMADA"/>
    <tableColumn id="5" xr3:uid="{909C331F-799F-4397-8489-8118E3AF30D2}" name="PRECIO UNITARIO ESTIMADO"/>
    <tableColumn id="6" xr3:uid="{D7E52920-1D1F-4C6E-907E-C289E278BD74}"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756F079D-7C08-4568-8098-331B90F54CCF}" name="Table98" displayName="Table98" ref="A1692:F1694" totalsRowShown="0">
  <tableColumns count="6">
    <tableColumn id="1" xr3:uid="{C238BC13-D8FD-46CE-88F4-5EAD65E7F881}" name="CÓDIGO CATÁLOGO"/>
    <tableColumn id="2" xr3:uid="{E160F05D-D5CA-4D3C-9EDD-D963B17736C1}" name="ARTÍCULO"/>
    <tableColumn id="3" xr3:uid="{D7A9CCC2-3421-4067-9C68-20498AC762BC}" name="UNIDAD DE MEDIDA">
      <calculatedColumnFormula>IFERROR(VLOOKUP("UD",'[1]Informacion '!P:Q,2,FALSE),"")</calculatedColumnFormula>
    </tableColumn>
    <tableColumn id="4" xr3:uid="{DB5121C5-C586-4633-8562-5FB9B3DD04D7}" name="CANTIDAD TOTAL ESTIMADA"/>
    <tableColumn id="5" xr3:uid="{933D554D-63BD-4F05-A098-018D9A266196}" name="PRECIO UNITARIO ESTIMADO"/>
    <tableColumn id="6" xr3:uid="{865AC3C0-5915-41DE-B102-87FCC8A54C0D}"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5B88DD1-586B-410D-8C5F-DCE142447395}" name="Table16" displayName="Table16" ref="A170:F172" totalsRowShown="0">
  <tableColumns count="6">
    <tableColumn id="1" xr3:uid="{304C34D2-6754-41DD-A99B-667F66C0E29E}" name="CÓDIGO CATÁLOGO"/>
    <tableColumn id="2" xr3:uid="{47E9C7D0-AF03-400D-A8E1-2144A8C825BF}" name="ARTÍCULO"/>
    <tableColumn id="3" xr3:uid="{88622001-F110-4F72-A29C-812AF2E5D881}" name="UNIDAD DE MEDIDA">
      <calculatedColumnFormula>IFERROR(VLOOKUP("UD",'[1]Informacion '!P:Q,2,FALSE),"")</calculatedColumnFormula>
    </tableColumn>
    <tableColumn id="4" xr3:uid="{013BF115-111B-4B7F-8C90-D130CCA1A1BC}" name="CANTIDAD TOTAL ESTIMADA"/>
    <tableColumn id="5" xr3:uid="{C1E7CCA1-624E-473A-B389-850AA73BE64E}" name="PRECIO UNITARIO ESTIMADO"/>
    <tableColumn id="6" xr3:uid="{84604398-3358-4118-9CFB-448D77EC1D1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4CCB66F6-9D85-4599-9423-8513E642B4DA}" name="Table12" displayName="Table12" ref="A123:F124" totalsRowShown="0">
  <tableColumns count="6">
    <tableColumn id="1" xr3:uid="{7A716DEC-D862-4EAE-834F-F9241954057E}" name="CÓDIGO CATÁLOGO"/>
    <tableColumn id="2" xr3:uid="{AE1DF237-15EE-4616-A42A-C889E4E376B7}" name="ARTÍCULO">
      <calculatedColumnFormula>IFERROR(INDEX(UNSPSCDes,MATCH(INDIRECT(ADDRESS(ROW(),COLUMN()-1,4)),UNSPSCCode,0)),IF(INDIRECT(ADDRESS(ROW(),COLUMN()-1,4))="72101506","Servicios de mantenimiento de elevadores. ",""))</calculatedColumnFormula>
    </tableColumn>
    <tableColumn id="3" xr3:uid="{47C3E8A4-E855-4E81-BD78-71F80084012B}" name="UNIDAD DE MEDIDA">
      <calculatedColumnFormula>IFERROR(VLOOKUP("UD",'[1]Informacion '!P:Q,2,FALSE),"")</calculatedColumnFormula>
    </tableColumn>
    <tableColumn id="4" xr3:uid="{6704D78D-8005-44D4-981F-5B65EFEA5BEA}" name="CANTIDAD TOTAL ESTIMADA"/>
    <tableColumn id="5" xr3:uid="{9DE07971-55DC-49D8-A3FB-8593D4784D89}" name="PRECIO UNITARIO ESTIMADO"/>
    <tableColumn id="6" xr3:uid="{E9C12887-E00D-4DDE-A56D-3AFDA77D438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BC5C9B-B03F-49D2-8C9A-31A214339436}" name="Table43" displayName="Table43" ref="A542:F548" totalsRowShown="0">
  <tableColumns count="6">
    <tableColumn id="1" xr3:uid="{5F5650E0-F4A0-45E5-A90F-02E573A9ADEB}" name="CÓDIGO CATÁLOGO"/>
    <tableColumn id="2" xr3:uid="{5E6CFF17-61AC-4AA4-A083-3E94DAB96782}" name="ARTÍCULO"/>
    <tableColumn id="3" xr3:uid="{EE079E54-3654-44C5-ACA4-9A8A043A2528}" name="UNIDAD DE MEDIDA">
      <calculatedColumnFormula>IFERROR(VLOOKUP("UD",'[1]Informacion '!P:Q,2,FALSE),"")</calculatedColumnFormula>
    </tableColumn>
    <tableColumn id="4" xr3:uid="{E770AFC7-7C09-4B6E-BAA3-D2C3D57AABA8}" name="CANTIDAD TOTAL ESTIMADA"/>
    <tableColumn id="5" xr3:uid="{D8D32685-0145-46E4-9711-47D1DD9096C5}" name="PRECIO UNITARIO ESTIMADO"/>
    <tableColumn id="6" xr3:uid="{B52629C6-920C-4E7D-9413-4471386CAE57}"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843C5130-93AB-45B2-835D-7149404FDA1F}" name="Table109" displayName="Table109" ref="A1860:F1861" totalsRowShown="0">
  <tableColumns count="6">
    <tableColumn id="1" xr3:uid="{5CC8E657-0906-4AD7-8B88-7956EA638334}" name="CÓDIGO CATÁLOGO"/>
    <tableColumn id="2" xr3:uid="{B3FFFC79-8A3D-4A27-935C-65FCCE3BE94F}" name="ARTÍCULO">
      <calculatedColumnFormula>IFERROR(INDEX(UNSPSCDes,MATCH(INDIRECT(ADDRESS(ROW(),COLUMN()-1,4)),UNSPSCCode,0)),IF(INDIRECT(ADDRESS(ROW(),COLUMN()-1,4))="82121903","Encuadernación con pegante",""))</calculatedColumnFormula>
    </tableColumn>
    <tableColumn id="3" xr3:uid="{B68252EF-B3C9-4BE5-869E-EBD0031ACA12}" name="UNIDAD DE MEDIDA">
      <calculatedColumnFormula>IFERROR(VLOOKUP("UD",'[1]Informacion '!P:Q,2,FALSE),"")</calculatedColumnFormula>
    </tableColumn>
    <tableColumn id="4" xr3:uid="{A339C285-CC75-4987-AEF8-A92054F4380B}" name="CANTIDAD TOTAL ESTIMADA"/>
    <tableColumn id="5" xr3:uid="{116D8628-0168-4D10-8873-B3A44484C399}" name="PRECIO UNITARIO ESTIMADO"/>
    <tableColumn id="6" xr3:uid="{FFEA066D-31F8-4FAA-9E2D-911A5FACA238}"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A45781E4-BC53-4582-9229-9893AF85769B}" name="Table7" displayName="Table7" ref="A58:F60" totalsRowShown="0">
  <tableColumns count="6">
    <tableColumn id="1" xr3:uid="{D87F4B61-1E6C-4270-AFB4-223ECCA6A75B}" name="CÓDIGO CATÁLOGO"/>
    <tableColumn id="2" xr3:uid="{6AEAA2DC-153A-418A-BB46-669DF38F31D6}" name="ARTÍCULO"/>
    <tableColumn id="3" xr3:uid="{6A86CCC6-F0D9-4A35-9ECA-2D532D865B11}" name="UNIDAD DE MEDIDA">
      <calculatedColumnFormula>IFERROR(VLOOKUP("GAL",'[1]Informacion '!P:Q,2,FALSE),"")</calculatedColumnFormula>
    </tableColumn>
    <tableColumn id="4" xr3:uid="{FE4A76EB-F307-4D70-89FC-66015620D68C}" name="CANTIDAD TOTAL ESTIMADA"/>
    <tableColumn id="5" xr3:uid="{78ADBD20-4682-43EC-BDD1-E48BF5D3C4C3}" name="PRECIO UNITARIO ESTIMADO"/>
    <tableColumn id="6" xr3:uid="{899A919A-F177-4D50-8CEE-3DB634579AC6}"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7649E5D0-238A-404D-B9BF-A1D268C78C25}" name="Table69" displayName="Table69" ref="A1315:F1317" totalsRowShown="0">
  <tableColumns count="6">
    <tableColumn id="1" xr3:uid="{D2626E75-D554-40DC-983A-FCF23E8D2BC2}" name="CÓDIGO CATÁLOGO"/>
    <tableColumn id="2" xr3:uid="{3AA8AB69-0135-4A13-A59C-77F15599C127}" name="ARTÍCULO"/>
    <tableColumn id="3" xr3:uid="{01D70F9F-B316-44A1-84F3-8AB6EE2D2AA6}" name="UNIDAD DE MEDIDA">
      <calculatedColumnFormula>IFERROR(VLOOKUP("UD",'[1]Informacion '!P:Q,2,FALSE),"")</calculatedColumnFormula>
    </tableColumn>
    <tableColumn id="4" xr3:uid="{F39B18FC-DCAD-4F59-BE92-73B97A190686}" name="CANTIDAD TOTAL ESTIMADA"/>
    <tableColumn id="5" xr3:uid="{16A1ABE6-8B99-4526-8BFD-CE0E2CDE461E}" name="PRECIO UNITARIO ESTIMADO"/>
    <tableColumn id="6" xr3:uid="{ADE8540B-C9E8-49D5-98AC-1874DEF6A520}"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C13D05A-D1FD-43F1-94E9-4FD8D4E7C8E4}" name="Table27" displayName="Table27" ref="A326:F327" totalsRowShown="0">
  <tableColumns count="6">
    <tableColumn id="1" xr3:uid="{7E0E4B87-B171-4CC6-9E9E-661C9FBFB8BB}" name="CÓDIGO CATÁLOGO"/>
    <tableColumn id="2" xr3:uid="{BE6A90B1-32C7-4557-8034-331B3BCC350B}" name="ARTÍCULO">
      <calculatedColumnFormula>IFERROR(INDEX(UNSPSCDes,MATCH(INDIRECT(ADDRESS(ROW(),COLUMN()-1,4)),UNSPSCCode,0)),IF(INDIRECT(ADDRESS(ROW(),COLUMN()-1,4))="43231512","Software de manejo de licencias",""))</calculatedColumnFormula>
    </tableColumn>
    <tableColumn id="3" xr3:uid="{A7B950E6-329A-4BA2-BE6B-584369E486AB}" name="UNIDAD DE MEDIDA">
      <calculatedColumnFormula>IFERROR(VLOOKUP("UD",'[1]Informacion '!P:Q,2,FALSE),"")</calculatedColumnFormula>
    </tableColumn>
    <tableColumn id="4" xr3:uid="{65E53640-FBF2-49AE-84B3-9237267A931A}" name="CANTIDAD TOTAL ESTIMADA"/>
    <tableColumn id="5" xr3:uid="{B0CAA578-BF87-4259-BC17-43D0DAD64063}" name="PRECIO UNITARIO ESTIMADO"/>
    <tableColumn id="6" xr3:uid="{FB107652-C17D-4785-B4CA-29F54119FD55}"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3932EF7-29F3-4D72-9323-5B93EF5A36B8}" name="Table11" displayName="Table11" ref="A112:F113" totalsRowShown="0">
  <tableColumns count="6">
    <tableColumn id="1" xr3:uid="{F4168963-181A-4C71-9A0C-76364ADFC480}" name="CÓDIGO CATÁLOGO"/>
    <tableColumn id="2" xr3:uid="{DC92AF33-06F2-464A-83A2-94210BC0AF0E}" name="ARTÍCULO">
      <calculatedColumnFormula>IFERROR(INDEX(UNSPSCDes,MATCH(INDIRECT(ADDRESS(ROW(),COLUMN()-1,4)),UNSPSCCode,0)),IF(INDIRECT(ADDRESS(ROW(),COLUMN()-1,4))="56101522","Sillas de brazos",""))</calculatedColumnFormula>
    </tableColumn>
    <tableColumn id="3" xr3:uid="{90D9D436-CDC3-46C8-8FB4-C692EA162CA9}" name="UNIDAD DE MEDIDA">
      <calculatedColumnFormula>IFERROR(VLOOKUP("UD",'[1]Informacion '!P:Q,2,FALSE),"")</calculatedColumnFormula>
    </tableColumn>
    <tableColumn id="4" xr3:uid="{2A983AFB-8CFE-42AF-BDDA-6D7BB5672149}" name="CANTIDAD TOTAL ESTIMADA"/>
    <tableColumn id="5" xr3:uid="{9EF2CC53-9AA8-46F7-B27B-4C778971D2C6}" name="PRECIO UNITARIO ESTIMADO"/>
    <tableColumn id="6" xr3:uid="{BBD43222-FE83-4329-BB9C-5F8E2345995E}"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8B55406-246C-444C-BBD5-B1E34E9FFAC1}" name="Table83" displayName="Table83" ref="A1489:F1491" totalsRowShown="0">
  <tableColumns count="6">
    <tableColumn id="1" xr3:uid="{E8270B70-A6D0-494D-9DE9-C1E799F016F0}" name="CÓDIGO CATÁLOGO"/>
    <tableColumn id="2" xr3:uid="{7DC84173-831C-491A-919C-6234E1CE06A9}" name="ARTÍCULO">
      <calculatedColumnFormula>IFERROR(INDEX(UNSPSCDes,MATCH(INDIRECT(ADDRESS(ROW(),COLUMN()-1,4)),UNSPSCCode,0)),IF(INDIRECT(ADDRESS(ROW(),COLUMN()-1,4))="72102602","Instalación de ventanas, puertas o dispositivos",""))</calculatedColumnFormula>
    </tableColumn>
    <tableColumn id="3" xr3:uid="{F334D0D6-D11A-4379-B056-1D29E5A6B937}" name="UNIDAD DE MEDIDA">
      <calculatedColumnFormula>IFERROR(VLOOKUP("UD",'[1]Informacion '!P:Q,2,FALSE),"")</calculatedColumnFormula>
    </tableColumn>
    <tableColumn id="4" xr3:uid="{FBEE0DC9-974E-4BCE-B4C9-B6599022FF84}" name="CANTIDAD TOTAL ESTIMADA"/>
    <tableColumn id="5" xr3:uid="{D151893E-6716-47C2-A243-735B462DFBA6}" name="PRECIO UNITARIO ESTIMADO"/>
    <tableColumn id="6" xr3:uid="{4852B158-846F-44B3-80FD-0602D34AFEBF}"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9BDE145-627F-4B72-A591-95BB2CB76C7F}" name="Table6" displayName="Table6" ref="A46:F48" totalsRowShown="0">
  <tableColumns count="6">
    <tableColumn id="1" xr3:uid="{A652243B-C568-4253-87E8-0189E4757CD2}" name="CÓDIGO CATÁLOGO"/>
    <tableColumn id="2" xr3:uid="{6FB61368-74AD-477D-AEA0-67380E498364}" name="ARTÍCULO"/>
    <tableColumn id="3" xr3:uid="{5A674C43-A346-4F49-9EDA-02E4FE4A43B4}" name="UNIDAD DE MEDIDA">
      <calculatedColumnFormula>IFERROR(VLOOKUP("GAL",'[1]Informacion '!P:Q,2,FALSE),"")</calculatedColumnFormula>
    </tableColumn>
    <tableColumn id="4" xr3:uid="{99C1DA42-C9D7-4197-B9C3-2E7276E867E7}" name="CANTIDAD TOTAL ESTIMADA"/>
    <tableColumn id="5" xr3:uid="{87174ADB-E15C-4C48-B926-76B316640FEE}" name="PRECIO UNITARIO ESTIMADO"/>
    <tableColumn id="6" xr3:uid="{708C60FF-6EDA-4437-919E-A630A8FFDCCB}"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10563E6-AC5A-4987-83E6-E556193F31D3}" name="Table66" displayName="Table66" ref="A1265:F1276" totalsRowShown="0">
  <tableColumns count="6">
    <tableColumn id="1" xr3:uid="{521B0E89-AE8E-440F-9D0B-79561EC797E8}" name="CÓDIGO CATÁLOGO"/>
    <tableColumn id="2" xr3:uid="{B23916C7-EDA4-42ED-B024-E6E08685A66A}" name="ARTÍCULO"/>
    <tableColumn id="3" xr3:uid="{CB4FA5F6-F620-430E-8002-78F8BBB99120}" name="UNIDAD DE MEDIDA"/>
    <tableColumn id="4" xr3:uid="{806670EA-E23A-4294-8118-D73F1D55D347}" name="CANTIDAD TOTAL ESTIMADA"/>
    <tableColumn id="5" xr3:uid="{C385B798-C5B8-4AD6-A029-C97280BDDF50}" name="PRECIO UNITARIO ESTIMADO"/>
    <tableColumn id="6" xr3:uid="{9641E4DC-A739-4373-9122-53EE8E023AC9}"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6FF56335-0E5A-4DE0-87BB-051BA57BB3D2}" name="Table30" displayName="Table30" ref="A359:F360" totalsRowShown="0">
  <tableColumns count="6">
    <tableColumn id="1" xr3:uid="{31C97257-5B54-4143-B42B-709FE3EF95C3}" name="CÓDIGO CATÁLOGO"/>
    <tableColumn id="2" xr3:uid="{61AFFA08-F7A2-4BF0-A24C-0E43CA537BC0}" name="ARTÍCULO">
      <calculatedColumnFormula>IFERROR(INDEX(UNSPSCDes,MATCH(INDIRECT(ADDRESS(ROW(),COLUMN()-1,4)),UNSPSCCode,0)),IF(INDIRECT(ADDRESS(ROW(),COLUMN()-1,4))="81111812","Servicio de mantenimiento o soporte del hardware del computador",""))</calculatedColumnFormula>
    </tableColumn>
    <tableColumn id="3" xr3:uid="{50DB1B2C-059B-43D5-AFB7-188E535030AD}" name="UNIDAD DE MEDIDA">
      <calculatedColumnFormula>IFERROR(VLOOKUP("UD",'[1]Informacion '!P:Q,2,FALSE),"")</calculatedColumnFormula>
    </tableColumn>
    <tableColumn id="4" xr3:uid="{B7D80F7B-EA62-4879-B455-DAC7A0533F05}" name="CANTIDAD TOTAL ESTIMADA"/>
    <tableColumn id="5" xr3:uid="{CB8E2D5B-7EAD-4344-8778-C22992956F92}" name="PRECIO UNITARIO ESTIMADO"/>
    <tableColumn id="6" xr3:uid="{830F0BED-9163-4094-BB1C-59844CE5A557}"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8D0C970-61C4-4A0F-ABEA-F37656FAF909}" name="Table23" displayName="Table23" ref="A258:F268" totalsRowShown="0">
  <tableColumns count="6">
    <tableColumn id="1" xr3:uid="{635C51E0-2704-422A-9A42-4491B156A07A}" name="CÓDIGO CATÁLOGO"/>
    <tableColumn id="2" xr3:uid="{1E59E9BA-350E-497F-A5B2-71CC39BB2AFD}" name="ARTÍCULO"/>
    <tableColumn id="3" xr3:uid="{5C28C624-B298-4604-8A5F-39B08407AA0A}" name="UNIDAD DE MEDIDA"/>
    <tableColumn id="4" xr3:uid="{BC3CCE04-F843-4E58-9CF2-0C1606ECE855}" name="CANTIDAD TOTAL ESTIMADA"/>
    <tableColumn id="5" xr3:uid="{A6DFD57A-9522-44A1-9400-159EF1673B6D}" name="PRECIO UNITARIO ESTIMADO"/>
    <tableColumn id="6" xr3:uid="{5FCF0F2E-877D-4C4F-A28F-E9794C58875D}"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C68C2E-E858-45B4-8AAB-8BD45AD2F00D}" name="Table107" displayName="Table107" ref="A1837:F1839" totalsRowShown="0">
  <tableColumns count="6">
    <tableColumn id="1" xr3:uid="{7A8C9421-7C53-499F-AC97-8CA4455ACE20}" name="CÓDIGO CATÁLOGO"/>
    <tableColumn id="2" xr3:uid="{1E22E54F-053E-4797-9058-9298D1DB3A19}" name="ARTÍCULO">
      <calculatedColumnFormula>IFERROR(INDEX(UNSPSCDes,MATCH(INDIRECT(ADDRESS(ROW(),COLUMN()-1,4)),UNSPSCCode,0)),IF(INDIRECT(ADDRESS(ROW(),COLUMN()-1,4))="10161707","Arreglo de flores cortadas",""))</calculatedColumnFormula>
    </tableColumn>
    <tableColumn id="3" xr3:uid="{1AE8109E-A5F1-4747-BBEE-A90FD8D1FBCC}" name="UNIDAD DE MEDIDA">
      <calculatedColumnFormula>IFERROR(VLOOKUP("UD",'[1]Informacion '!P:Q,2,FALSE),"")</calculatedColumnFormula>
    </tableColumn>
    <tableColumn id="4" xr3:uid="{3B870102-DB5B-40F2-A703-E36178BAF42B}" name="CANTIDAD TOTAL ESTIMADA"/>
    <tableColumn id="5" xr3:uid="{1F0CCD39-CD16-4916-8DE7-9310A592A5F4}" name="PRECIO UNITARIO ESTIMADO"/>
    <tableColumn id="6" xr3:uid="{D3051096-8D19-4D24-9CCB-BD73C99863AB}"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E95C5048-D662-441F-BE52-80D24B98C50E}" name="Table47" displayName="Table47" ref="A595:F596" totalsRowShown="0">
  <tableColumns count="6">
    <tableColumn id="1" xr3:uid="{EB7133AA-5448-4378-AE06-8BCD8D98A119}" name="CÓDIGO CATÁLOGO"/>
    <tableColumn id="2" xr3:uid="{43C05B55-74CD-4675-81E8-31DB6545240D}" name="ARTÍCULO">
      <calculatedColumnFormula>IFERROR(INDEX(UNSPSCDes,MATCH(INDIRECT(ADDRESS(ROW(),COLUMN()-1,4)),UNSPSCCode,0)),IF(INDIRECT(ADDRESS(ROW(),COLUMN()-1,4))="14111608","Certificados de regalo",""))</calculatedColumnFormula>
    </tableColumn>
    <tableColumn id="3" xr3:uid="{31A5743F-E495-4511-9690-3AAFD571BCD8}" name="UNIDAD DE MEDIDA">
      <calculatedColumnFormula>IFERROR(VLOOKUP("UD",'[1]Informacion '!P:Q,2,FALSE),"")</calculatedColumnFormula>
    </tableColumn>
    <tableColumn id="4" xr3:uid="{6ECD0BFE-8E5F-4C51-B202-0C7AFEA8F6E6}" name="CANTIDAD TOTAL ESTIMADA"/>
    <tableColumn id="5" xr3:uid="{ED614108-D995-4AED-9304-FDB19926AD4D}" name="PRECIO UNITARIO ESTIMADO"/>
    <tableColumn id="6" xr3:uid="{B1797A46-6026-410A-BB6A-434EBEA16605}"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AD63C80-8FAF-4ED4-8914-0BA3A27BED9C}" name="Table114" displayName="Table114" ref="A1915:F1916" totalsRowShown="0">
  <tableColumns count="6">
    <tableColumn id="1" xr3:uid="{F492E47C-DCF0-4F89-BA2A-1FF70FD42166}" name="CÓDIGO CATÁLOGO"/>
    <tableColumn id="2" xr3:uid="{9AF5F782-E64F-4D91-B5DC-F05613B2BED0}" name="ARTÍCULO">
      <calculatedColumnFormula>IFERROR(INDEX(UNSPSCDes,MATCH(INDIRECT(ADDRESS(ROW(),COLUMN()-1,4)),UNSPSCCode,0)),IF(INDIRECT(ADDRESS(ROW(),COLUMN()-1,4))="72102802","Restauración de edificios, mojones o monumentos",""))</calculatedColumnFormula>
    </tableColumn>
    <tableColumn id="3" xr3:uid="{638C90E7-3273-4108-8955-CB3ADCE170A9}" name="UNIDAD DE MEDIDA">
      <calculatedColumnFormula>IFERROR(VLOOKUP("UD",'[1]Informacion '!P:Q,2,FALSE),"")</calculatedColumnFormula>
    </tableColumn>
    <tableColumn id="4" xr3:uid="{AF2D65FF-1CBD-4BB9-9FF1-9C5D5F3F012E}" name="CANTIDAD TOTAL ESTIMADA"/>
    <tableColumn id="5" xr3:uid="{594B9473-65F6-4651-A05D-8C2CA829323A}" name="PRECIO UNITARIO ESTIMADO"/>
    <tableColumn id="6" xr3:uid="{84E0B70B-9D31-45EB-B97E-936A3521FE3E}"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5D08963-0A1E-4DA7-8551-7DDACFFCCD6D}" name="Table80" displayName="Table80" ref="A1448:F1453" totalsRowShown="0">
  <tableColumns count="6">
    <tableColumn id="1" xr3:uid="{D8231617-6798-4062-822B-C476379C0ECF}" name="CÓDIGO CATÁLOGO"/>
    <tableColumn id="2" xr3:uid="{5CD90E4F-6137-48D7-BF63-D3697EB11444}" name="ARTÍCULO">
      <calculatedColumnFormula>IFERROR(INDEX(UNSPSCDes,MATCH(INDIRECT(ADDRESS(ROW(),COLUMN()-1,4)),UNSPSCCode,0)),IF(INDIRECT(ADDRESS(ROW(),COLUMN()-1,4))="91111502","Servicios de lavandería",""))</calculatedColumnFormula>
    </tableColumn>
    <tableColumn id="3" xr3:uid="{05B0D1A5-EE48-448F-9221-7FEAA3CD205C}" name="UNIDAD DE MEDIDA">
      <calculatedColumnFormula>IFERROR(VLOOKUP("UD",'[1]Informacion '!P:Q,2,FALSE),"")</calculatedColumnFormula>
    </tableColumn>
    <tableColumn id="4" xr3:uid="{F5B6C8F7-167F-4B0D-8C14-F710BB632604}" name="CANTIDAD TOTAL ESTIMADA"/>
    <tableColumn id="5" xr3:uid="{9F98828C-9782-4DF9-8C88-5955CF8AF135}" name="PRECIO UNITARIO ESTIMADO"/>
    <tableColumn id="6" xr3:uid="{F06FDB8D-EF2B-4ACE-A1BD-2F8B5E4ED2B8}"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20303ECF-061F-4043-BDE6-A87FE78B1DF9}" name="Table9" displayName="Table9" ref="A82:F91" totalsRowShown="0">
  <tableColumns count="6">
    <tableColumn id="1" xr3:uid="{4C87F150-9D83-40BE-8230-F8906A94DEFC}" name="CÓDIGO CATÁLOGO"/>
    <tableColumn id="2" xr3:uid="{D5E5B033-F8F3-4A7A-BA45-C3F6941F9490}" name="ARTÍCULO"/>
    <tableColumn id="3" xr3:uid="{356F4750-5E1D-477D-87B6-04C9318F5314}" name="UNIDAD DE MEDIDA">
      <calculatedColumnFormula>IFERROR(VLOOKUP("UD",'[1]Informacion '!P:Q,2,FALSE),"")</calculatedColumnFormula>
    </tableColumn>
    <tableColumn id="4" xr3:uid="{84F47CB1-9C01-4E55-9F6E-28CA225DB855}" name="CANTIDAD TOTAL ESTIMADA"/>
    <tableColumn id="5" xr3:uid="{F970F2C3-FA1F-4702-A73C-DB41139AB5E0}" name="PRECIO UNITARIO ESTIMADO"/>
    <tableColumn id="6" xr3:uid="{09AF4B07-7A1E-4E40-B1A1-3F4F6A8AC85F}"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265B87C-309D-41FA-8A2A-AF8ECF028EF0}" name="Table89" displayName="Table89" ref="A1577:F1583" totalsRowShown="0">
  <tableColumns count="6">
    <tableColumn id="1" xr3:uid="{C6395589-1F7F-4445-AEEC-5E8416EA5896}" name="CÓDIGO CATÁLOGO"/>
    <tableColumn id="2" xr3:uid="{4E189D4E-1B0E-493C-92D4-91248B7E7FFF}" name="ARTÍCULO"/>
    <tableColumn id="3" xr3:uid="{37F6380F-B0DC-45B1-98E8-9C7AFF5AA24D}" name="UNIDAD DE MEDIDA"/>
    <tableColumn id="4" xr3:uid="{41CD8A84-D014-482C-BAE0-D70D8A446CD8}" name="CANTIDAD TOTAL ESTIMADA"/>
    <tableColumn id="5" xr3:uid="{14CD46FC-AB16-487A-97F5-84C4D1508281}" name="PRECIO UNITARIO ESTIMADO"/>
    <tableColumn id="6" xr3:uid="{1DD232C6-A746-44DC-9B28-EE1FFD04C169}"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5BB2D8C1-7606-4CAF-B867-BD1F4F9014CD}" name="Table70" displayName="Table70" ref="A1327:F1328" totalsRowShown="0">
  <tableColumns count="6">
    <tableColumn id="1" xr3:uid="{2FB50E69-49FA-484B-840C-2F16B51D796A}" name="CÓDIGO CATÁLOGO"/>
    <tableColumn id="2" xr3:uid="{8439E896-620B-4E8A-8EA3-333E1890EB9D}" name="ARTÍCULO">
      <calculatedColumnFormula>IFERROR(INDEX(UNSPSCDes,MATCH(INDIRECT(ADDRESS(ROW(),COLUMN()-1,4)),UNSPSCCode,0)),IF(INDIRECT(ADDRESS(ROW(),COLUMN()-1,4))="72102305","Servicios de reparación, mantenimiento o reparación de aire acondicionado",""))</calculatedColumnFormula>
    </tableColumn>
    <tableColumn id="3" xr3:uid="{00F691C1-505A-40BD-B4B6-1BB42B29169D}" name="UNIDAD DE MEDIDA">
      <calculatedColumnFormula>IFERROR(VLOOKUP("UD",'[1]Informacion '!P:Q,2,FALSE),"")</calculatedColumnFormula>
    </tableColumn>
    <tableColumn id="4" xr3:uid="{39E3A54D-B191-44D2-AECC-A81551BF531E}" name="CANTIDAD TOTAL ESTIMADA"/>
    <tableColumn id="5" xr3:uid="{477F5F7C-0EBC-4866-A4BC-065F35A02348}" name="PRECIO UNITARIO ESTIMADO"/>
    <tableColumn id="6" xr3:uid="{D37CAFDF-AC6C-4F38-B070-1DC8FD1A8734}"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5D0074BA-A87F-4132-BB32-AEC0A6285EDD}" name="Table58" displayName="Table58" ref="A973:F1040" totalsRowShown="0">
  <tableColumns count="6">
    <tableColumn id="1" xr3:uid="{F128CED3-09BD-46E3-B924-3DDDAEB6E4E9}" name="CÓDIGO CATÁLOGO"/>
    <tableColumn id="2" xr3:uid="{A07E5E5B-D0A2-4306-923F-2F1283EAEB1C}" name="ARTÍCULO"/>
    <tableColumn id="3" xr3:uid="{4651C5C2-A882-41A1-BEA2-A323E1A03F4D}" name="UNIDAD DE MEDIDA"/>
    <tableColumn id="4" xr3:uid="{1FF4DA4E-B7BD-40EE-A0B2-60D03D1EC980}" name="CANTIDAD TOTAL ESTIMADA"/>
    <tableColumn id="5" xr3:uid="{A4FEC341-095B-4422-A765-281A32C61DFE}" name="PRECIO UNITARIO ESTIMADO"/>
    <tableColumn id="6" xr3:uid="{D18FD684-E98D-42D0-A1A1-DA0F66DABA70}"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357157E-1135-4D90-9B0C-CE768751A92E}" name="Table24" displayName="Table24" ref="A278:F291" totalsRowShown="0">
  <tableColumns count="6">
    <tableColumn id="1" xr3:uid="{2FF9F4C2-E2C0-43CE-9269-BFD383457971}" name="CÓDIGO CATÁLOGO"/>
    <tableColumn id="2" xr3:uid="{91B027A1-C0BE-4461-B9CA-38CDA0796DA3}" name="ARTÍCULO"/>
    <tableColumn id="3" xr3:uid="{54C286F4-7238-436A-B2BB-05A50D724E90}" name="UNIDAD DE MEDIDA"/>
    <tableColumn id="4" xr3:uid="{A8CFE515-A315-47E9-84C0-2F3A80C81C2F}" name="CANTIDAD TOTAL ESTIMADA"/>
    <tableColumn id="5" xr3:uid="{58B3617B-C483-428C-874C-0EA167E94453}" name="PRECIO UNITARIO ESTIMADO"/>
    <tableColumn id="6" xr3:uid="{66ECFEB0-8C20-4982-BEEC-18BC594856C9}"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D998242-3524-4101-B554-1B1DD6403272}" name="Table101" displayName="Table101" ref="A1729:F1731" totalsRowShown="0">
  <tableColumns count="6">
    <tableColumn id="1" xr3:uid="{FB973C96-9FE7-4355-B6A4-247C053B0B55}" name="CÓDIGO CATÁLOGO"/>
    <tableColumn id="2" xr3:uid="{7BA2542F-9C17-458E-9915-8196B1F9ED52}" name="ARTÍCULO">
      <calculatedColumnFormula>IFERROR(INDEX(UNSPSCDes,MATCH(INDIRECT(ADDRESS(ROW(),COLUMN()-1,4)),UNSPSCCode,0)),IF(INDIRECT(ADDRESS(ROW(),COLUMN()-1,4))="81111805","Mantenimiento o soporte de sistemas patentados o autorizados",""))</calculatedColumnFormula>
    </tableColumn>
    <tableColumn id="3" xr3:uid="{BE6CDFA2-CB7C-4409-9CA2-6FFCEAA8D54C}" name="UNIDAD DE MEDIDA">
      <calculatedColumnFormula>IFERROR(VLOOKUP("UD",'[1]Informacion '!P:Q,2,FALSE),"")</calculatedColumnFormula>
    </tableColumn>
    <tableColumn id="4" xr3:uid="{60B9F0A2-0B54-4503-93A1-63CE271CC291}" name="CANTIDAD TOTAL ESTIMADA"/>
    <tableColumn id="5" xr3:uid="{43442C43-7D4D-4EBB-A570-CF86262F1522}" name="PRECIO UNITARIO ESTIMADO"/>
    <tableColumn id="6" xr3:uid="{7EDF04E8-C877-40F5-A2B7-81411A97B11B}"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D3D0CFB0-AA36-4DC1-9E87-EC070442AB5F}" name="Table41" displayName="Table41" ref="A518:F521" totalsRowShown="0">
  <tableColumns count="6">
    <tableColumn id="1" xr3:uid="{74C7971F-4A88-44FD-8FA5-8C74567AEEE2}" name="CÓDIGO CATÁLOGO"/>
    <tableColumn id="2" xr3:uid="{AEF2F30F-31AE-4C2D-B1C1-26DAB7ACF657}" name="ARTÍCULO"/>
    <tableColumn id="3" xr3:uid="{0684EE93-3058-42BC-99F5-03EE60801B90}" name="UNIDAD DE MEDIDA">
      <calculatedColumnFormula>IFERROR(VLOOKUP("UD",'[1]Informacion '!P:Q,2,FALSE),"")</calculatedColumnFormula>
    </tableColumn>
    <tableColumn id="4" xr3:uid="{89D707C6-0A60-4006-BE56-CD5822299E47}" name="CANTIDAD TOTAL ESTIMADA"/>
    <tableColumn id="5" xr3:uid="{995D0C09-6208-4C8F-BEEF-F686D1011C2E}" name="PRECIO UNITARIO ESTIMADO"/>
    <tableColumn id="6" xr3:uid="{D17C2FF3-7A61-41F9-9EBE-DC235AA9C2AE}"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12.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34.xml"/><Relationship Id="rId936" Type="http://schemas.openxmlformats.org/officeDocument/2006/relationships/ctrlProp" Target="../ctrlProps/ctrlProp933.xml"/><Relationship Id="rId1121" Type="http://schemas.openxmlformats.org/officeDocument/2006/relationships/table" Target="../tables/table101.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56.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78.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5.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16.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83.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27.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table" Target="../tables/table94.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38.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table" Target="../tables/table105.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49.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40.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51.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9.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62.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73.xml"/><Relationship Id="rId1107" Type="http://schemas.openxmlformats.org/officeDocument/2006/relationships/table" Target="../tables/table8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98.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11.xml"/><Relationship Id="rId1129" Type="http://schemas.openxmlformats.org/officeDocument/2006/relationships/table" Target="../tables/table109.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22.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33.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100.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44.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111.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55.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66.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77.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15.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82.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2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9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3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104.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48.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59.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50.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61.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19.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72.xml"/><Relationship Id="rId1106" Type="http://schemas.openxmlformats.org/officeDocument/2006/relationships/table" Target="../tables/table86.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97.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10.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108.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21.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3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4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11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5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6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7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3.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14.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81.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25.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92.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36.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10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4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5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6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6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18.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71.xml"/><Relationship Id="rId1105" Type="http://schemas.openxmlformats.org/officeDocument/2006/relationships/table" Target="../tables/table85.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29.xml"/><Relationship Id="rId833" Type="http://schemas.openxmlformats.org/officeDocument/2006/relationships/ctrlProp" Target="../ctrlProps/ctrlProp830.xml"/><Relationship Id="rId1116" Type="http://schemas.openxmlformats.org/officeDocument/2006/relationships/table" Target="../tables/table96.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10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20.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31.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42.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5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6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89.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75.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1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8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24.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91.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35.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102.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46.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5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68.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79.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table" Target="../tables/table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17.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70.xml"/><Relationship Id="rId1104" Type="http://schemas.openxmlformats.org/officeDocument/2006/relationships/table" Target="../tables/table8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28.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95.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39.xml"/><Relationship Id="rId843" Type="http://schemas.openxmlformats.org/officeDocument/2006/relationships/ctrlProp" Target="../ctrlProps/ctrlProp840.xml"/><Relationship Id="rId1126" Type="http://schemas.openxmlformats.org/officeDocument/2006/relationships/table" Target="../tables/table106.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30.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41.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52.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63.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74.xml"/><Relationship Id="rId1108" Type="http://schemas.openxmlformats.org/officeDocument/2006/relationships/table" Target="../tables/table88.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1.xml"/><Relationship Id="rId1119" Type="http://schemas.openxmlformats.org/officeDocument/2006/relationships/table" Target="../tables/table99.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23.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90.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45.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6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D06F-24B4-4991-BC96-6C3272062031}">
  <sheetPr>
    <pageSetUpPr fitToPage="1"/>
  </sheetPr>
  <dimension ref="A1:O1922"/>
  <sheetViews>
    <sheetView tabSelected="1" topLeftCell="A1883" zoomScale="70" zoomScaleNormal="70" workbookViewId="0">
      <selection activeCell="A6" sqref="A6"/>
    </sheetView>
  </sheetViews>
  <sheetFormatPr defaultColWidth="0" defaultRowHeight="14.1" customHeight="1" zero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40" customWidth="1"/>
    <col min="8" max="9" width="9.140625" style="25" hidden="1" customWidth="1"/>
    <col min="10" max="10" width="11.5703125" style="25" hidden="1" customWidth="1"/>
    <col min="11" max="11" width="7.42578125" style="25" hidden="1" customWidth="1"/>
    <col min="12" max="12" width="14.28515625" style="25" hidden="1" customWidth="1"/>
    <col min="13" max="13" width="22.5703125" style="25" hidden="1" customWidth="1"/>
    <col min="14" max="14" width="72.85546875" style="25" hidden="1" customWidth="1"/>
    <col min="15" max="15" width="14.28515625" style="25" hidden="1" customWidth="1"/>
    <col min="16" max="16" width="0" style="25" hidden="1" customWidth="1"/>
    <col min="17" max="16384" width="0" style="25" hidden="1"/>
  </cols>
  <sheetData>
    <row r="1" spans="1:13" s="7" customFormat="1" ht="18.75" thickTop="1" x14ac:dyDescent="0.25">
      <c r="A1" s="51"/>
      <c r="B1" s="1"/>
      <c r="C1" s="2"/>
      <c r="D1" s="2"/>
      <c r="E1" s="3"/>
      <c r="F1" s="1"/>
      <c r="G1" s="1"/>
      <c r="H1" s="4"/>
      <c r="I1" s="5"/>
      <c r="J1" s="5"/>
      <c r="K1" s="6"/>
      <c r="L1" s="6"/>
      <c r="M1" s="6"/>
    </row>
    <row r="2" spans="1:13" s="7" customFormat="1" ht="18" x14ac:dyDescent="0.25">
      <c r="A2" s="51"/>
      <c r="B2" s="52" t="s">
        <v>0</v>
      </c>
      <c r="C2" s="52"/>
      <c r="D2" s="52"/>
      <c r="E2" s="52"/>
      <c r="F2" s="8"/>
      <c r="G2" s="1"/>
      <c r="H2" s="6"/>
    </row>
    <row r="3" spans="1:13" s="7" customFormat="1" ht="18" x14ac:dyDescent="0.25">
      <c r="A3" s="51"/>
      <c r="B3" s="53" t="str">
        <f>"AÑO "&amp;E11</f>
        <v>AÑO 2022</v>
      </c>
      <c r="C3" s="53"/>
      <c r="D3" s="53"/>
      <c r="E3" s="53"/>
      <c r="F3" s="9"/>
      <c r="G3" s="1"/>
      <c r="H3" s="6"/>
    </row>
    <row r="4" spans="1:13" s="7" customFormat="1" ht="18" x14ac:dyDescent="0.25">
      <c r="A4" s="51"/>
      <c r="B4" s="1"/>
      <c r="C4" s="1"/>
      <c r="D4" s="1"/>
      <c r="E4" s="10"/>
      <c r="F4" s="1"/>
      <c r="G4" s="1"/>
      <c r="H4" s="6"/>
    </row>
    <row r="5" spans="1:13" s="7" customFormat="1" ht="21" thickBot="1" x14ac:dyDescent="0.3">
      <c r="A5" s="11"/>
      <c r="B5" s="11"/>
      <c r="C5" s="12"/>
      <c r="D5" s="12"/>
      <c r="E5" s="12"/>
      <c r="F5" s="12"/>
      <c r="G5" s="13"/>
      <c r="H5" s="13"/>
    </row>
    <row r="6" spans="1:13" s="17" customFormat="1" ht="14.25" thickBot="1" x14ac:dyDescent="0.3">
      <c r="A6" s="14" t="s">
        <v>1</v>
      </c>
      <c r="B6" s="13"/>
      <c r="C6" s="15"/>
      <c r="D6" s="16" t="s">
        <v>2</v>
      </c>
      <c r="E6" s="45" t="s">
        <v>3</v>
      </c>
      <c r="F6" s="46"/>
      <c r="G6" s="13"/>
    </row>
    <row r="7" spans="1:13" s="17" customFormat="1" ht="14.25" thickBot="1" x14ac:dyDescent="0.3">
      <c r="A7" s="18" t="s">
        <v>4</v>
      </c>
      <c r="B7" s="13"/>
      <c r="C7" s="13"/>
      <c r="D7" s="16" t="s">
        <v>5</v>
      </c>
      <c r="E7" s="45" t="s">
        <v>6</v>
      </c>
      <c r="F7" s="46"/>
      <c r="G7" s="13"/>
    </row>
    <row r="8" spans="1:13" s="17" customFormat="1" ht="14.25" thickBot="1" x14ac:dyDescent="0.3">
      <c r="A8" s="13"/>
      <c r="B8" s="13"/>
      <c r="C8" s="13"/>
      <c r="D8" s="16" t="s">
        <v>7</v>
      </c>
      <c r="E8" s="45" t="s">
        <v>8</v>
      </c>
      <c r="F8" s="46"/>
      <c r="G8" s="13"/>
    </row>
    <row r="9" spans="1:13" s="17" customFormat="1" ht="29.25" customHeight="1" thickBot="1" x14ac:dyDescent="0.3">
      <c r="A9" s="19" t="s">
        <v>9</v>
      </c>
      <c r="B9" s="20">
        <f ca="1">COUNTIFS(TotalEstColumnName,"="&amp;TotalEstLabel,TotalEstColumnValue,"&gt;0")</f>
        <v>111</v>
      </c>
      <c r="C9" s="13"/>
      <c r="D9" s="16" t="s">
        <v>10</v>
      </c>
      <c r="E9" s="45" t="s">
        <v>11</v>
      </c>
      <c r="F9" s="46"/>
      <c r="G9" s="13"/>
    </row>
    <row r="10" spans="1:13" s="17" customFormat="1" ht="36.75" customHeight="1" thickBot="1" x14ac:dyDescent="0.3">
      <c r="A10" s="21" t="s">
        <v>12</v>
      </c>
      <c r="B10" s="22">
        <f ca="1">SUMIF(TotalEstColumnName,"="&amp;TotalEstLabel,TotalEstColumnValue)</f>
        <v>56264088.100000009</v>
      </c>
      <c r="C10" s="13"/>
      <c r="D10" s="16" t="s">
        <v>13</v>
      </c>
      <c r="E10" s="45" t="s">
        <v>14</v>
      </c>
      <c r="F10" s="46"/>
      <c r="G10" s="13"/>
    </row>
    <row r="11" spans="1:13" s="17" customFormat="1" ht="14.25" thickBot="1" x14ac:dyDescent="0.3">
      <c r="A11" s="13"/>
      <c r="B11" s="13"/>
      <c r="C11" s="13"/>
      <c r="D11" s="16" t="s">
        <v>15</v>
      </c>
      <c r="E11" s="47" t="s">
        <v>16</v>
      </c>
      <c r="F11" s="48"/>
      <c r="G11" s="13"/>
    </row>
    <row r="12" spans="1:13" s="17" customFormat="1" ht="14.25" thickBot="1" x14ac:dyDescent="0.3">
      <c r="A12" s="23"/>
      <c r="B12" s="23"/>
      <c r="C12" s="23"/>
      <c r="D12" s="16" t="s">
        <v>17</v>
      </c>
      <c r="E12" s="49" t="s">
        <v>18</v>
      </c>
      <c r="F12" s="50"/>
      <c r="G12" s="13"/>
    </row>
    <row r="13" spans="1:13" s="40" customFormat="1" ht="14.1" customHeight="1" x14ac:dyDescent="0.25"/>
    <row r="14" spans="1:13" s="40" customFormat="1" ht="14.1" customHeight="1" x14ac:dyDescent="0.25"/>
    <row r="15" spans="1:13" ht="34.15" customHeight="1" thickBot="1" x14ac:dyDescent="0.3">
      <c r="A15" s="24" t="s">
        <v>19</v>
      </c>
      <c r="B15" s="24" t="s">
        <v>20</v>
      </c>
      <c r="C15" s="24" t="s">
        <v>21</v>
      </c>
      <c r="D15" s="24" t="s">
        <v>22</v>
      </c>
      <c r="E15" s="24" t="s">
        <v>23</v>
      </c>
      <c r="F15" s="24" t="s">
        <v>24</v>
      </c>
    </row>
    <row r="16" spans="1:13" ht="14.1" customHeight="1" thickBot="1" x14ac:dyDescent="0.3">
      <c r="A16" s="26" t="s">
        <v>25</v>
      </c>
      <c r="B16" s="26" t="s">
        <v>26</v>
      </c>
      <c r="C16" s="26" t="s">
        <v>27</v>
      </c>
      <c r="D16" s="26" t="s">
        <v>28</v>
      </c>
      <c r="E16" s="26" t="s">
        <v>29</v>
      </c>
      <c r="F16" s="26"/>
    </row>
    <row r="17" spans="1:10" ht="14.1" customHeight="1" thickBot="1" x14ac:dyDescent="0.3">
      <c r="A17" s="43" t="s">
        <v>30</v>
      </c>
      <c r="B17" s="27" t="s">
        <v>31</v>
      </c>
      <c r="C17" s="28">
        <v>44576</v>
      </c>
      <c r="D17" s="43" t="s">
        <v>32</v>
      </c>
      <c r="E17" s="29" t="s">
        <v>33</v>
      </c>
      <c r="F17" s="30" t="s">
        <v>34</v>
      </c>
    </row>
    <row r="18" spans="1:10" ht="14.1" customHeight="1" thickBot="1" x14ac:dyDescent="0.3">
      <c r="A18" s="44"/>
      <c r="B18" s="27" t="s">
        <v>35</v>
      </c>
      <c r="C18" s="31">
        <f>IF(C17="","",IF(AND(MONTH(C17)&gt;=1,MONTH(C17)&lt;=3),1,IF(AND(MONTH(C17)&gt;=4,MONTH(C17)&lt;=6),2,IF(AND(MONTH(C17)&gt;=7,MONTH(C17)&lt;=9),3,4))))</f>
        <v>1</v>
      </c>
      <c r="D18" s="44"/>
      <c r="E18" s="29" t="s">
        <v>36</v>
      </c>
      <c r="F18" s="30"/>
    </row>
    <row r="19" spans="1:10" ht="14.1" customHeight="1" thickBot="1" x14ac:dyDescent="0.3">
      <c r="A19" s="44"/>
      <c r="B19" s="27" t="s">
        <v>37</v>
      </c>
      <c r="C19" s="28">
        <v>44592</v>
      </c>
      <c r="D19" s="44"/>
      <c r="E19" s="29" t="s">
        <v>38</v>
      </c>
      <c r="F19" s="30"/>
    </row>
    <row r="20" spans="1:10" ht="14.1" customHeight="1" thickBot="1" x14ac:dyDescent="0.3">
      <c r="A20" s="44"/>
      <c r="B20" s="27" t="s">
        <v>35</v>
      </c>
      <c r="C20" s="31">
        <f>IF(C19="","",IF(AND(MONTH(C19)&gt;=1,MONTH(C19)&lt;=3),1,IF(AND(MONTH(C19)&gt;=4,MONTH(C19)&lt;=6),2,IF(AND(MONTH(C19)&gt;=7,MONTH(C19)&lt;=9),3,4))))</f>
        <v>1</v>
      </c>
      <c r="D20" s="44"/>
      <c r="E20" s="29" t="s">
        <v>39</v>
      </c>
      <c r="F20" s="30"/>
    </row>
    <row r="21" spans="1:10" ht="14.1" customHeight="1" x14ac:dyDescent="0.25"/>
    <row r="22" spans="1:10" ht="14.1" customHeight="1" thickBot="1" x14ac:dyDescent="0.3">
      <c r="A22" s="32" t="s">
        <v>40</v>
      </c>
      <c r="B22" s="32" t="s">
        <v>41</v>
      </c>
      <c r="C22" s="32" t="s">
        <v>42</v>
      </c>
      <c r="D22" s="32" t="s">
        <v>43</v>
      </c>
      <c r="E22" s="32" t="s">
        <v>44</v>
      </c>
      <c r="F22" s="32" t="s">
        <v>45</v>
      </c>
    </row>
    <row r="23" spans="1:10" ht="14.1" customHeight="1" x14ac:dyDescent="0.25">
      <c r="A23" s="33" t="s">
        <v>46</v>
      </c>
      <c r="B23" s="34" t="str">
        <f ca="1">IFERROR(INDEX(UNSPSCDes,MATCH(INDIRECT(ADDRESS(ROW(),COLUMN()-1,4)),UNSPSCCode,0)),IF(INDIRECT(ADDRESS(ROW(),COLUMN()-1,4))="15101505","Combustible diesel",""))</f>
        <v>Combustible diesel</v>
      </c>
      <c r="C23" s="35" t="str">
        <f>IFERROR(VLOOKUP("GAL",'[1]Informacion '!P:Q,2,FALSE),"")</f>
        <v>Galón</v>
      </c>
      <c r="D23" s="33">
        <v>1200</v>
      </c>
      <c r="E23" s="36">
        <v>200</v>
      </c>
      <c r="F23" s="37">
        <f ca="1">INDIRECT(ADDRESS(ROW(),COLUMN()-2,4))*INDIRECT(ADDRESS(ROW(),COLUMN()-1,4))</f>
        <v>240000</v>
      </c>
    </row>
    <row r="24" spans="1:10" ht="14.1" customHeight="1" x14ac:dyDescent="0.25">
      <c r="A24" s="33" t="s">
        <v>47</v>
      </c>
      <c r="B24" s="34" t="str">
        <f ca="1">IFERROR(INDEX(UNSPSCDes,MATCH(INDIRECT(ADDRESS(ROW(),COLUMN()-1,4)),UNSPSCCode,0)),IF(INDIRECT(ADDRESS(ROW(),COLUMN()-1,4))="15121520","Lubricantes de propósito general",""))</f>
        <v>Lubricantes de propósito general</v>
      </c>
      <c r="C24" s="35" t="str">
        <f>IFERROR(VLOOKUP("GAL",'[1]Informacion '!P:Q,2,FALSE),"")</f>
        <v>Galón</v>
      </c>
      <c r="D24" s="33">
        <v>12</v>
      </c>
      <c r="E24" s="36">
        <v>2000</v>
      </c>
      <c r="F24" s="37">
        <f ca="1">INDIRECT(ADDRESS(ROW(),COLUMN()-2,4))*INDIRECT(ADDRESS(ROW(),COLUMN()-1,4))</f>
        <v>24000</v>
      </c>
    </row>
    <row r="25" spans="1:10" s="40" customFormat="1" ht="14.1" customHeight="1" x14ac:dyDescent="0.25">
      <c r="E25" s="41" t="s">
        <v>48</v>
      </c>
      <c r="F25" s="42">
        <f ca="1">SUM(Table4[MONTO TOTAL ESTIMADO])</f>
        <v>264000</v>
      </c>
      <c r="H25" s="40" t="str">
        <f>C16</f>
        <v>Bienes</v>
      </c>
      <c r="I25" s="40" t="str">
        <f>E16</f>
        <v>No</v>
      </c>
      <c r="J25" s="40" t="str">
        <f>D16</f>
        <v>Compras Menores</v>
      </c>
    </row>
    <row r="26" spans="1:10" s="40" customFormat="1" ht="14.1" customHeight="1" x14ac:dyDescent="0.25"/>
    <row r="27" spans="1:10" ht="34.15" customHeight="1" thickBot="1" x14ac:dyDescent="0.3">
      <c r="A27" s="24" t="s">
        <v>19</v>
      </c>
      <c r="B27" s="24" t="s">
        <v>20</v>
      </c>
      <c r="C27" s="24" t="s">
        <v>21</v>
      </c>
      <c r="D27" s="24" t="s">
        <v>22</v>
      </c>
      <c r="E27" s="24" t="s">
        <v>23</v>
      </c>
      <c r="F27" s="24" t="s">
        <v>24</v>
      </c>
    </row>
    <row r="28" spans="1:10" ht="14.1" customHeight="1" thickBot="1" x14ac:dyDescent="0.3">
      <c r="A28" s="26" t="s">
        <v>49</v>
      </c>
      <c r="B28" s="26" t="s">
        <v>50</v>
      </c>
      <c r="C28" s="26" t="s">
        <v>27</v>
      </c>
      <c r="D28" s="26" t="s">
        <v>28</v>
      </c>
      <c r="E28" s="26" t="s">
        <v>29</v>
      </c>
      <c r="F28" s="26"/>
    </row>
    <row r="29" spans="1:10" ht="14.1" customHeight="1" thickBot="1" x14ac:dyDescent="0.3">
      <c r="A29" s="43" t="s">
        <v>30</v>
      </c>
      <c r="B29" s="27" t="s">
        <v>31</v>
      </c>
      <c r="C29" s="28">
        <v>44652</v>
      </c>
      <c r="D29" s="43" t="s">
        <v>32</v>
      </c>
      <c r="E29" s="29" t="s">
        <v>33</v>
      </c>
      <c r="F29" s="30" t="s">
        <v>34</v>
      </c>
    </row>
    <row r="30" spans="1:10" ht="14.1" customHeight="1" thickBot="1" x14ac:dyDescent="0.3">
      <c r="A30" s="44"/>
      <c r="B30" s="27" t="s">
        <v>35</v>
      </c>
      <c r="C30" s="31">
        <f>IF(C29="","",IF(AND(MONTH(C29)&gt;=1,MONTH(C29)&lt;=3),1,IF(AND(MONTH(C29)&gt;=4,MONTH(C29)&lt;=6),2,IF(AND(MONTH(C29)&gt;=7,MONTH(C29)&lt;=9),3,4))))</f>
        <v>2</v>
      </c>
      <c r="D30" s="44"/>
      <c r="E30" s="29" t="s">
        <v>36</v>
      </c>
      <c r="F30" s="30"/>
    </row>
    <row r="31" spans="1:10" ht="14.1" customHeight="1" thickBot="1" x14ac:dyDescent="0.3">
      <c r="A31" s="44"/>
      <c r="B31" s="27" t="s">
        <v>37</v>
      </c>
      <c r="C31" s="28">
        <v>44742</v>
      </c>
      <c r="D31" s="44"/>
      <c r="E31" s="29" t="s">
        <v>38</v>
      </c>
      <c r="F31" s="30"/>
    </row>
    <row r="32" spans="1:10" ht="14.1" customHeight="1" thickBot="1" x14ac:dyDescent="0.3">
      <c r="A32" s="44"/>
      <c r="B32" s="27" t="s">
        <v>35</v>
      </c>
      <c r="C32" s="31">
        <f>IF(C31="","",IF(AND(MONTH(C31)&gt;=1,MONTH(C31)&lt;=3),1,IF(AND(MONTH(C31)&gt;=4,MONTH(C31)&lt;=6),2,IF(AND(MONTH(C31)&gt;=7,MONTH(C31)&lt;=9),3,4))))</f>
        <v>2</v>
      </c>
      <c r="D32" s="44"/>
      <c r="E32" s="29" t="s">
        <v>39</v>
      </c>
      <c r="F32" s="30"/>
    </row>
    <row r="33" spans="1:10" ht="14.1" customHeight="1" x14ac:dyDescent="0.25"/>
    <row r="34" spans="1:10" ht="14.1" customHeight="1" thickBot="1" x14ac:dyDescent="0.3">
      <c r="A34" s="32" t="s">
        <v>40</v>
      </c>
      <c r="B34" s="32" t="s">
        <v>41</v>
      </c>
      <c r="C34" s="32" t="s">
        <v>42</v>
      </c>
      <c r="D34" s="32" t="s">
        <v>43</v>
      </c>
      <c r="E34" s="32" t="s">
        <v>44</v>
      </c>
      <c r="F34" s="32" t="s">
        <v>45</v>
      </c>
    </row>
    <row r="35" spans="1:10" ht="14.1" customHeight="1" x14ac:dyDescent="0.25">
      <c r="A35" s="33" t="s">
        <v>46</v>
      </c>
      <c r="B35" s="34" t="str">
        <f ca="1">IFERROR(INDEX(UNSPSCDes,MATCH(INDIRECT(ADDRESS(ROW(),COLUMN()-1,4)),UNSPSCCode,0)),IF(INDIRECT(ADDRESS(ROW(),COLUMN()-1,4))="15101505","Combustible diesel",""))</f>
        <v>Combustible diesel</v>
      </c>
      <c r="C35" s="35" t="str">
        <f>IFERROR(VLOOKUP("GAL",'[1]Informacion '!P:Q,2,FALSE),"")</f>
        <v>Galón</v>
      </c>
      <c r="D35" s="33">
        <v>1200</v>
      </c>
      <c r="E35" s="36">
        <v>200</v>
      </c>
      <c r="F35" s="37">
        <f ca="1">INDIRECT(ADDRESS(ROW(),COLUMN()-2,4))*INDIRECT(ADDRESS(ROW(),COLUMN()-1,4))</f>
        <v>240000</v>
      </c>
    </row>
    <row r="36" spans="1:10" ht="14.1" customHeight="1" x14ac:dyDescent="0.25">
      <c r="A36" s="33" t="s">
        <v>47</v>
      </c>
      <c r="B36" s="34" t="str">
        <f ca="1">IFERROR(INDEX(UNSPSCDes,MATCH(INDIRECT(ADDRESS(ROW(),COLUMN()-1,4)),UNSPSCCode,0)),IF(INDIRECT(ADDRESS(ROW(),COLUMN()-1,4))="15121520","Lubricantes de propósito general",""))</f>
        <v>Lubricantes de propósito general</v>
      </c>
      <c r="C36" s="35" t="str">
        <f>IFERROR(VLOOKUP("GAL",'[1]Informacion '!P:Q,2,FALSE),"")</f>
        <v>Galón</v>
      </c>
      <c r="D36" s="33">
        <v>12</v>
      </c>
      <c r="E36" s="36">
        <v>2000</v>
      </c>
      <c r="F36" s="37">
        <f ca="1">INDIRECT(ADDRESS(ROW(),COLUMN()-2,4))*INDIRECT(ADDRESS(ROW(),COLUMN()-1,4))</f>
        <v>24000</v>
      </c>
    </row>
    <row r="37" spans="1:10" s="40" customFormat="1" ht="14.1" customHeight="1" x14ac:dyDescent="0.25">
      <c r="E37" s="41" t="s">
        <v>48</v>
      </c>
      <c r="F37" s="42">
        <f ca="1">SUM(Table5[MONTO TOTAL ESTIMADO])</f>
        <v>264000</v>
      </c>
      <c r="H37" s="40" t="str">
        <f>C28</f>
        <v>Bienes</v>
      </c>
      <c r="I37" s="40" t="str">
        <f>E28</f>
        <v>No</v>
      </c>
      <c r="J37" s="40" t="str">
        <f>D28</f>
        <v>Compras Menores</v>
      </c>
    </row>
    <row r="38" spans="1:10" s="40" customFormat="1" ht="14.1" customHeight="1" x14ac:dyDescent="0.25"/>
    <row r="39" spans="1:10" ht="34.15" customHeight="1" thickBot="1" x14ac:dyDescent="0.3">
      <c r="A39" s="24" t="s">
        <v>19</v>
      </c>
      <c r="B39" s="24" t="s">
        <v>20</v>
      </c>
      <c r="C39" s="24" t="s">
        <v>21</v>
      </c>
      <c r="D39" s="24" t="s">
        <v>22</v>
      </c>
      <c r="E39" s="24" t="s">
        <v>23</v>
      </c>
      <c r="F39" s="24" t="s">
        <v>24</v>
      </c>
    </row>
    <row r="40" spans="1:10" ht="14.1" customHeight="1" thickBot="1" x14ac:dyDescent="0.3">
      <c r="A40" s="26" t="s">
        <v>49</v>
      </c>
      <c r="B40" s="26" t="s">
        <v>51</v>
      </c>
      <c r="C40" s="26" t="s">
        <v>27</v>
      </c>
      <c r="D40" s="26" t="s">
        <v>28</v>
      </c>
      <c r="E40" s="26" t="s">
        <v>29</v>
      </c>
      <c r="F40" s="26"/>
    </row>
    <row r="41" spans="1:10" ht="14.1" customHeight="1" thickBot="1" x14ac:dyDescent="0.3">
      <c r="A41" s="43" t="s">
        <v>30</v>
      </c>
      <c r="B41" s="27" t="s">
        <v>31</v>
      </c>
      <c r="C41" s="28">
        <v>44743</v>
      </c>
      <c r="D41" s="43" t="s">
        <v>32</v>
      </c>
      <c r="E41" s="29" t="s">
        <v>33</v>
      </c>
      <c r="F41" s="30" t="s">
        <v>34</v>
      </c>
    </row>
    <row r="42" spans="1:10" ht="14.1" customHeight="1" thickBot="1" x14ac:dyDescent="0.3">
      <c r="A42" s="44"/>
      <c r="B42" s="27" t="s">
        <v>35</v>
      </c>
      <c r="C42" s="31">
        <f>IF(C41="","",IF(AND(MONTH(C41)&gt;=1,MONTH(C41)&lt;=3),1,IF(AND(MONTH(C41)&gt;=4,MONTH(C41)&lt;=6),2,IF(AND(MONTH(C41)&gt;=7,MONTH(C41)&lt;=9),3,4))))</f>
        <v>3</v>
      </c>
      <c r="D42" s="44"/>
      <c r="E42" s="29" t="s">
        <v>36</v>
      </c>
      <c r="F42" s="30"/>
    </row>
    <row r="43" spans="1:10" ht="14.1" customHeight="1" thickBot="1" x14ac:dyDescent="0.3">
      <c r="A43" s="44"/>
      <c r="B43" s="27" t="s">
        <v>37</v>
      </c>
      <c r="C43" s="28">
        <v>44834</v>
      </c>
      <c r="D43" s="44"/>
      <c r="E43" s="29" t="s">
        <v>38</v>
      </c>
      <c r="F43" s="30"/>
    </row>
    <row r="44" spans="1:10" ht="14.1" customHeight="1" thickBot="1" x14ac:dyDescent="0.3">
      <c r="A44" s="44"/>
      <c r="B44" s="27" t="s">
        <v>35</v>
      </c>
      <c r="C44" s="31">
        <f>IF(C43="","",IF(AND(MONTH(C43)&gt;=1,MONTH(C43)&lt;=3),1,IF(AND(MONTH(C43)&gt;=4,MONTH(C43)&lt;=6),2,IF(AND(MONTH(C43)&gt;=7,MONTH(C43)&lt;=9),3,4))))</f>
        <v>3</v>
      </c>
      <c r="D44" s="44"/>
      <c r="E44" s="29" t="s">
        <v>39</v>
      </c>
      <c r="F44" s="30"/>
    </row>
    <row r="45" spans="1:10" ht="14.1" customHeight="1" x14ac:dyDescent="0.25"/>
    <row r="46" spans="1:10" ht="14.1" customHeight="1" thickBot="1" x14ac:dyDescent="0.3">
      <c r="A46" s="32" t="s">
        <v>40</v>
      </c>
      <c r="B46" s="32" t="s">
        <v>41</v>
      </c>
      <c r="C46" s="32" t="s">
        <v>42</v>
      </c>
      <c r="D46" s="32" t="s">
        <v>43</v>
      </c>
      <c r="E46" s="32" t="s">
        <v>44</v>
      </c>
      <c r="F46" s="32" t="s">
        <v>45</v>
      </c>
    </row>
    <row r="47" spans="1:10" ht="14.1" customHeight="1" x14ac:dyDescent="0.25">
      <c r="A47" s="33" t="s">
        <v>46</v>
      </c>
      <c r="B47" s="34" t="str">
        <f ca="1">IFERROR(INDEX(UNSPSCDes,MATCH(INDIRECT(ADDRESS(ROW(),COLUMN()-1,4)),UNSPSCCode,0)),IF(INDIRECT(ADDRESS(ROW(),COLUMN()-1,4))="15101505","Combustible diesel",""))</f>
        <v>Combustible diesel</v>
      </c>
      <c r="C47" s="35" t="str">
        <f>IFERROR(VLOOKUP("GAL",'[1]Informacion '!P:Q,2,FALSE),"")</f>
        <v>Galón</v>
      </c>
      <c r="D47" s="33">
        <v>1200</v>
      </c>
      <c r="E47" s="36">
        <v>200</v>
      </c>
      <c r="F47" s="37">
        <f ca="1">INDIRECT(ADDRESS(ROW(),COLUMN()-2,4))*INDIRECT(ADDRESS(ROW(),COLUMN()-1,4))</f>
        <v>240000</v>
      </c>
    </row>
    <row r="48" spans="1:10" ht="14.1" customHeight="1" x14ac:dyDescent="0.25">
      <c r="A48" s="33" t="s">
        <v>47</v>
      </c>
      <c r="B48" s="34" t="str">
        <f ca="1">IFERROR(INDEX(UNSPSCDes,MATCH(INDIRECT(ADDRESS(ROW(),COLUMN()-1,4)),UNSPSCCode,0)),IF(INDIRECT(ADDRESS(ROW(),COLUMN()-1,4))="15121520","Lubricantes de propósito general",""))</f>
        <v>Lubricantes de propósito general</v>
      </c>
      <c r="C48" s="35" t="str">
        <f>IFERROR(VLOOKUP("GAL",'[1]Informacion '!P:Q,2,FALSE),"")</f>
        <v>Galón</v>
      </c>
      <c r="D48" s="33">
        <v>12</v>
      </c>
      <c r="E48" s="36">
        <v>2000</v>
      </c>
      <c r="F48" s="37">
        <f ca="1">INDIRECT(ADDRESS(ROW(),COLUMN()-2,4))*INDIRECT(ADDRESS(ROW(),COLUMN()-1,4))</f>
        <v>24000</v>
      </c>
    </row>
    <row r="49" spans="1:10" ht="14.1" customHeight="1" x14ac:dyDescent="0.25">
      <c r="B49" s="40"/>
      <c r="C49" s="40"/>
      <c r="D49" s="40"/>
      <c r="E49" s="38" t="s">
        <v>48</v>
      </c>
      <c r="F49" s="39">
        <f ca="1">SUM(Table6[MONTO TOTAL ESTIMADO])</f>
        <v>264000</v>
      </c>
      <c r="H49" s="25" t="str">
        <f>C40</f>
        <v>Bienes</v>
      </c>
      <c r="I49" s="25" t="str">
        <f>E40</f>
        <v>No</v>
      </c>
      <c r="J49" s="25" t="str">
        <f>D40</f>
        <v>Compras Menores</v>
      </c>
    </row>
    <row r="50" spans="1:10" ht="14.1" customHeight="1" x14ac:dyDescent="0.25">
      <c r="B50" s="40"/>
      <c r="C50" s="40"/>
      <c r="D50" s="40"/>
    </row>
    <row r="51" spans="1:10" ht="34.15" customHeight="1" thickBot="1" x14ac:dyDescent="0.3">
      <c r="A51" s="24" t="s">
        <v>19</v>
      </c>
      <c r="B51" s="24" t="s">
        <v>20</v>
      </c>
      <c r="C51" s="24" t="s">
        <v>21</v>
      </c>
      <c r="D51" s="24" t="s">
        <v>22</v>
      </c>
      <c r="E51" s="24" t="s">
        <v>23</v>
      </c>
      <c r="F51" s="24" t="s">
        <v>24</v>
      </c>
    </row>
    <row r="52" spans="1:10" ht="14.1" customHeight="1" thickBot="1" x14ac:dyDescent="0.3">
      <c r="A52" s="26" t="s">
        <v>49</v>
      </c>
      <c r="B52" s="26" t="s">
        <v>51</v>
      </c>
      <c r="C52" s="26" t="s">
        <v>27</v>
      </c>
      <c r="D52" s="26" t="s">
        <v>28</v>
      </c>
      <c r="E52" s="26" t="s">
        <v>29</v>
      </c>
      <c r="F52" s="26"/>
    </row>
    <row r="53" spans="1:10" ht="14.1" customHeight="1" thickBot="1" x14ac:dyDescent="0.3">
      <c r="A53" s="43" t="s">
        <v>30</v>
      </c>
      <c r="B53" s="27" t="s">
        <v>31</v>
      </c>
      <c r="C53" s="28">
        <v>44835</v>
      </c>
      <c r="D53" s="43" t="s">
        <v>32</v>
      </c>
      <c r="E53" s="29" t="s">
        <v>33</v>
      </c>
      <c r="F53" s="30" t="s">
        <v>34</v>
      </c>
    </row>
    <row r="54" spans="1:10" ht="14.1" customHeight="1" thickBot="1" x14ac:dyDescent="0.3">
      <c r="A54" s="44"/>
      <c r="B54" s="27" t="s">
        <v>35</v>
      </c>
      <c r="C54" s="31">
        <f>IF(C53="","",IF(AND(MONTH(C53)&gt;=1,MONTH(C53)&lt;=3),1,IF(AND(MONTH(C53)&gt;=4,MONTH(C53)&lt;=6),2,IF(AND(MONTH(C53)&gt;=7,MONTH(C53)&lt;=9),3,4))))</f>
        <v>4</v>
      </c>
      <c r="D54" s="44"/>
      <c r="E54" s="29" t="s">
        <v>36</v>
      </c>
      <c r="F54" s="30"/>
    </row>
    <row r="55" spans="1:10" ht="14.1" customHeight="1" thickBot="1" x14ac:dyDescent="0.3">
      <c r="A55" s="44"/>
      <c r="B55" s="27" t="s">
        <v>37</v>
      </c>
      <c r="C55" s="28">
        <v>44926</v>
      </c>
      <c r="D55" s="44"/>
      <c r="E55" s="29" t="s">
        <v>38</v>
      </c>
      <c r="F55" s="30"/>
    </row>
    <row r="56" spans="1:10" ht="14.1" customHeight="1" thickBot="1" x14ac:dyDescent="0.3">
      <c r="A56" s="44"/>
      <c r="B56" s="27" t="s">
        <v>35</v>
      </c>
      <c r="C56" s="31">
        <f>IF(C55="","",IF(AND(MONTH(C55)&gt;=1,MONTH(C55)&lt;=3),1,IF(AND(MONTH(C55)&gt;=4,MONTH(C55)&lt;=6),2,IF(AND(MONTH(C55)&gt;=7,MONTH(C55)&lt;=9),3,4))))</f>
        <v>4</v>
      </c>
      <c r="D56" s="44"/>
      <c r="E56" s="29" t="s">
        <v>39</v>
      </c>
      <c r="F56" s="30"/>
    </row>
    <row r="57" spans="1:10" ht="14.1" customHeight="1" x14ac:dyDescent="0.25"/>
    <row r="58" spans="1:10" ht="14.1" customHeight="1" thickBot="1" x14ac:dyDescent="0.3">
      <c r="A58" s="32" t="s">
        <v>40</v>
      </c>
      <c r="B58" s="32" t="s">
        <v>41</v>
      </c>
      <c r="C58" s="32" t="s">
        <v>42</v>
      </c>
      <c r="D58" s="32" t="s">
        <v>43</v>
      </c>
      <c r="E58" s="32" t="s">
        <v>44</v>
      </c>
      <c r="F58" s="32" t="s">
        <v>45</v>
      </c>
    </row>
    <row r="59" spans="1:10" ht="14.1" customHeight="1" x14ac:dyDescent="0.25">
      <c r="A59" s="33" t="s">
        <v>46</v>
      </c>
      <c r="B59" s="34" t="str">
        <f ca="1">IFERROR(INDEX(UNSPSCDes,MATCH(INDIRECT(ADDRESS(ROW(),COLUMN()-1,4)),UNSPSCCode,0)),IF(INDIRECT(ADDRESS(ROW(),COLUMN()-1,4))="15101505","Combustible diesel",""))</f>
        <v>Combustible diesel</v>
      </c>
      <c r="C59" s="35" t="str">
        <f>IFERROR(VLOOKUP("GAL",'[1]Informacion '!P:Q,2,FALSE),"")</f>
        <v>Galón</v>
      </c>
      <c r="D59" s="33">
        <v>1200</v>
      </c>
      <c r="E59" s="36">
        <v>200</v>
      </c>
      <c r="F59" s="37">
        <f ca="1">INDIRECT(ADDRESS(ROW(),COLUMN()-2,4))*INDIRECT(ADDRESS(ROW(),COLUMN()-1,4))</f>
        <v>240000</v>
      </c>
    </row>
    <row r="60" spans="1:10" ht="14.1" customHeight="1" x14ac:dyDescent="0.25">
      <c r="A60" s="33" t="s">
        <v>47</v>
      </c>
      <c r="B60" s="34" t="str">
        <f ca="1">IFERROR(INDEX(UNSPSCDes,MATCH(INDIRECT(ADDRESS(ROW(),COLUMN()-1,4)),UNSPSCCode,0)),IF(INDIRECT(ADDRESS(ROW(),COLUMN()-1,4))="15121520","Lubricantes de propósito general",""))</f>
        <v>Lubricantes de propósito general</v>
      </c>
      <c r="C60" s="35" t="str">
        <f>IFERROR(VLOOKUP("GAL",'[1]Informacion '!P:Q,2,FALSE),"")</f>
        <v>Galón</v>
      </c>
      <c r="D60" s="33">
        <v>12</v>
      </c>
      <c r="E60" s="36">
        <v>2000</v>
      </c>
      <c r="F60" s="37">
        <f ca="1">INDIRECT(ADDRESS(ROW(),COLUMN()-2,4))*INDIRECT(ADDRESS(ROW(),COLUMN()-1,4))</f>
        <v>24000</v>
      </c>
    </row>
    <row r="61" spans="1:10" ht="14.1" customHeight="1" x14ac:dyDescent="0.25">
      <c r="B61" s="40"/>
      <c r="C61" s="40"/>
      <c r="D61" s="40"/>
      <c r="E61" s="38" t="s">
        <v>48</v>
      </c>
      <c r="F61" s="39">
        <f ca="1">SUM(Table7[MONTO TOTAL ESTIMADO])</f>
        <v>264000</v>
      </c>
      <c r="H61" s="25" t="str">
        <f>C52</f>
        <v>Bienes</v>
      </c>
      <c r="I61" s="25" t="str">
        <f>E52</f>
        <v>No</v>
      </c>
      <c r="J61" s="25" t="str">
        <f>D52</f>
        <v>Compras Menores</v>
      </c>
    </row>
    <row r="62" spans="1:10" ht="14.1" customHeight="1" x14ac:dyDescent="0.25">
      <c r="B62" s="40"/>
      <c r="C62" s="40"/>
      <c r="D62" s="40"/>
    </row>
    <row r="63" spans="1:10" ht="34.15" customHeight="1" thickBot="1" x14ac:dyDescent="0.3">
      <c r="A63" s="24" t="s">
        <v>19</v>
      </c>
      <c r="B63" s="24" t="s">
        <v>20</v>
      </c>
      <c r="C63" s="24" t="s">
        <v>21</v>
      </c>
      <c r="D63" s="24" t="s">
        <v>22</v>
      </c>
      <c r="E63" s="24" t="s">
        <v>23</v>
      </c>
      <c r="F63" s="24" t="s">
        <v>24</v>
      </c>
    </row>
    <row r="64" spans="1:10" ht="14.1" customHeight="1" thickBot="1" x14ac:dyDescent="0.3">
      <c r="A64" s="26" t="s">
        <v>52</v>
      </c>
      <c r="B64" s="26" t="s">
        <v>52</v>
      </c>
      <c r="C64" s="26" t="s">
        <v>27</v>
      </c>
      <c r="D64" s="26" t="s">
        <v>53</v>
      </c>
      <c r="E64" s="26" t="s">
        <v>54</v>
      </c>
      <c r="F64" s="26"/>
    </row>
    <row r="65" spans="1:10" ht="14.1" customHeight="1" thickBot="1" x14ac:dyDescent="0.3">
      <c r="A65" s="43" t="s">
        <v>30</v>
      </c>
      <c r="B65" s="27" t="s">
        <v>31</v>
      </c>
      <c r="C65" s="28">
        <v>44576</v>
      </c>
      <c r="D65" s="43" t="s">
        <v>32</v>
      </c>
      <c r="E65" s="29" t="s">
        <v>33</v>
      </c>
      <c r="F65" s="30" t="s">
        <v>34</v>
      </c>
    </row>
    <row r="66" spans="1:10" ht="14.1" customHeight="1" thickBot="1" x14ac:dyDescent="0.3">
      <c r="A66" s="44"/>
      <c r="B66" s="27" t="s">
        <v>35</v>
      </c>
      <c r="C66" s="31">
        <f>IF(C65="","",IF(AND(MONTH(C65)&gt;=1,MONTH(C65)&lt;=3),1,IF(AND(MONTH(C65)&gt;=4,MONTH(C65)&lt;=6),2,IF(AND(MONTH(C65)&gt;=7,MONTH(C65)&lt;=9),3,4))))</f>
        <v>1</v>
      </c>
      <c r="D66" s="44"/>
      <c r="E66" s="29" t="s">
        <v>36</v>
      </c>
      <c r="F66" s="30"/>
    </row>
    <row r="67" spans="1:10" ht="14.1" customHeight="1" thickBot="1" x14ac:dyDescent="0.3">
      <c r="A67" s="44"/>
      <c r="B67" s="27" t="s">
        <v>37</v>
      </c>
      <c r="C67" s="28">
        <v>44651</v>
      </c>
      <c r="D67" s="44"/>
      <c r="E67" s="29" t="s">
        <v>38</v>
      </c>
      <c r="F67" s="30"/>
    </row>
    <row r="68" spans="1:10" ht="14.1" customHeight="1" thickBot="1" x14ac:dyDescent="0.3">
      <c r="A68" s="44"/>
      <c r="B68" s="27" t="s">
        <v>35</v>
      </c>
      <c r="C68" s="31">
        <f>IF(C67="","",IF(AND(MONTH(C67)&gt;=1,MONTH(C67)&lt;=3),1,IF(AND(MONTH(C67)&gt;=4,MONTH(C67)&lt;=6),2,IF(AND(MONTH(C67)&gt;=7,MONTH(C67)&lt;=9),3,4))))</f>
        <v>1</v>
      </c>
      <c r="D68" s="44"/>
      <c r="E68" s="29" t="s">
        <v>39</v>
      </c>
      <c r="F68" s="30"/>
    </row>
    <row r="69" spans="1:10" ht="14.1" customHeight="1" x14ac:dyDescent="0.25"/>
    <row r="70" spans="1:10" ht="14.1" customHeight="1" thickBot="1" x14ac:dyDescent="0.3">
      <c r="A70" s="32" t="s">
        <v>40</v>
      </c>
      <c r="B70" s="32" t="s">
        <v>41</v>
      </c>
      <c r="C70" s="32" t="s">
        <v>42</v>
      </c>
      <c r="D70" s="32" t="s">
        <v>43</v>
      </c>
      <c r="E70" s="32" t="s">
        <v>44</v>
      </c>
      <c r="F70" s="32" t="s">
        <v>45</v>
      </c>
    </row>
    <row r="71" spans="1:10" ht="14.1" customHeight="1" x14ac:dyDescent="0.25">
      <c r="A71" s="33" t="s">
        <v>55</v>
      </c>
      <c r="B71" s="34" t="str">
        <f ca="1">IFERROR(INDEX(UNSPSCDes,MATCH(INDIRECT(ADDRESS(ROW(),COLUMN()-1,4)),UNSPSCCode,0)),IF(INDIRECT(ADDRESS(ROW(),COLUMN()-1,4))="56101522","Sillas de brazos",""))</f>
        <v>Sillas de brazos</v>
      </c>
      <c r="C71" s="35" t="str">
        <f>IFERROR(VLOOKUP("UD",'[1]Informacion '!P:Q,2,FALSE),"")</f>
        <v>Unidad</v>
      </c>
      <c r="D71" s="33">
        <v>4</v>
      </c>
      <c r="E71" s="36">
        <v>12000</v>
      </c>
      <c r="F71" s="37">
        <f ca="1">INDIRECT(ADDRESS(ROW(),COLUMN()-2,4))*INDIRECT(ADDRESS(ROW(),COLUMN()-1,4))</f>
        <v>48000</v>
      </c>
    </row>
    <row r="72" spans="1:10" ht="14.1" customHeight="1" x14ac:dyDescent="0.25">
      <c r="A72" s="33" t="s">
        <v>56</v>
      </c>
      <c r="B72" s="34" t="str">
        <f ca="1">IFERROR(INDEX(UNSPSCDes,MATCH(INDIRECT(ADDRESS(ROW(),COLUMN()-1,4)),UNSPSCCode,0)),IF(INDIRECT(ADDRESS(ROW(),COLUMN()-1,4))="56101703","Escritorios",""))</f>
        <v>Escritorios</v>
      </c>
      <c r="C72" s="35" t="str">
        <f>IFERROR(VLOOKUP("UD",'[1]Informacion '!P:Q,2,FALSE),"")</f>
        <v>Unidad</v>
      </c>
      <c r="D72" s="33">
        <v>2</v>
      </c>
      <c r="E72" s="36">
        <v>20000</v>
      </c>
      <c r="F72" s="37">
        <f ca="1">INDIRECT(ADDRESS(ROW(),COLUMN()-2,4))*INDIRECT(ADDRESS(ROW(),COLUMN()-1,4))</f>
        <v>40000</v>
      </c>
    </row>
    <row r="73" spans="1:10" ht="14.1" customHeight="1" x14ac:dyDescent="0.25">
      <c r="E73" s="38" t="s">
        <v>48</v>
      </c>
      <c r="F73" s="39">
        <f ca="1">SUM(Table8[MONTO TOTAL ESTIMADO])</f>
        <v>88000</v>
      </c>
      <c r="H73" s="25" t="str">
        <f>C64</f>
        <v>Bienes</v>
      </c>
      <c r="I73" s="25" t="str">
        <f>E64</f>
        <v>Sí</v>
      </c>
      <c r="J73" s="25" t="str">
        <f>D64</f>
        <v>Compras por debajo del Umbral</v>
      </c>
    </row>
    <row r="74" spans="1:10" ht="14.1" customHeight="1" x14ac:dyDescent="0.25"/>
    <row r="75" spans="1:10" ht="34.15" customHeight="1" thickBot="1" x14ac:dyDescent="0.3">
      <c r="A75" s="24" t="s">
        <v>19</v>
      </c>
      <c r="B75" s="24" t="s">
        <v>20</v>
      </c>
      <c r="C75" s="24" t="s">
        <v>21</v>
      </c>
      <c r="D75" s="24" t="s">
        <v>22</v>
      </c>
      <c r="E75" s="24" t="s">
        <v>23</v>
      </c>
      <c r="F75" s="24" t="s">
        <v>24</v>
      </c>
    </row>
    <row r="76" spans="1:10" ht="14.1" customHeight="1" thickBot="1" x14ac:dyDescent="0.3">
      <c r="A76" s="26" t="s">
        <v>52</v>
      </c>
      <c r="B76" s="26" t="s">
        <v>52</v>
      </c>
      <c r="C76" s="26" t="s">
        <v>27</v>
      </c>
      <c r="D76" s="26" t="s">
        <v>28</v>
      </c>
      <c r="E76" s="26" t="s">
        <v>54</v>
      </c>
      <c r="F76" s="26"/>
    </row>
    <row r="77" spans="1:10" ht="14.1" customHeight="1" thickBot="1" x14ac:dyDescent="0.3">
      <c r="A77" s="43" t="s">
        <v>30</v>
      </c>
      <c r="B77" s="27" t="s">
        <v>31</v>
      </c>
      <c r="C77" s="28">
        <v>44652</v>
      </c>
      <c r="D77" s="43" t="s">
        <v>32</v>
      </c>
      <c r="E77" s="29" t="s">
        <v>33</v>
      </c>
      <c r="F77" s="30" t="s">
        <v>34</v>
      </c>
    </row>
    <row r="78" spans="1:10" ht="14.1" customHeight="1" thickBot="1" x14ac:dyDescent="0.3">
      <c r="A78" s="44"/>
      <c r="B78" s="27" t="s">
        <v>35</v>
      </c>
      <c r="C78" s="31">
        <f>IF(C77="","",IF(AND(MONTH(C77)&gt;=1,MONTH(C77)&lt;=3),1,IF(AND(MONTH(C77)&gt;=4,MONTH(C77)&lt;=6),2,IF(AND(MONTH(C77)&gt;=7,MONTH(C77)&lt;=9),3,4))))</f>
        <v>2</v>
      </c>
      <c r="D78" s="44"/>
      <c r="E78" s="29" t="s">
        <v>36</v>
      </c>
      <c r="F78" s="30"/>
    </row>
    <row r="79" spans="1:10" ht="14.1" customHeight="1" thickBot="1" x14ac:dyDescent="0.3">
      <c r="A79" s="44"/>
      <c r="B79" s="27" t="s">
        <v>37</v>
      </c>
      <c r="C79" s="28">
        <v>44742</v>
      </c>
      <c r="D79" s="44"/>
      <c r="E79" s="29" t="s">
        <v>38</v>
      </c>
      <c r="F79" s="30"/>
    </row>
    <row r="80" spans="1:10" ht="14.1" customHeight="1" thickBot="1" x14ac:dyDescent="0.3">
      <c r="A80" s="44"/>
      <c r="B80" s="27" t="s">
        <v>35</v>
      </c>
      <c r="C80" s="31">
        <f>IF(C79="","",IF(AND(MONTH(C79)&gt;=1,MONTH(C79)&lt;=3),1,IF(AND(MONTH(C79)&gt;=4,MONTH(C79)&lt;=6),2,IF(AND(MONTH(C79)&gt;=7,MONTH(C79)&lt;=9),3,4))))</f>
        <v>2</v>
      </c>
      <c r="D80" s="44"/>
      <c r="E80" s="29" t="s">
        <v>39</v>
      </c>
      <c r="F80" s="30"/>
    </row>
    <row r="81" spans="1:10" ht="14.1" customHeight="1" x14ac:dyDescent="0.25"/>
    <row r="82" spans="1:10" ht="14.1" customHeight="1" thickBot="1" x14ac:dyDescent="0.3">
      <c r="A82" s="32" t="s">
        <v>40</v>
      </c>
      <c r="B82" s="32" t="s">
        <v>41</v>
      </c>
      <c r="C82" s="32" t="s">
        <v>42</v>
      </c>
      <c r="D82" s="32" t="s">
        <v>43</v>
      </c>
      <c r="E82" s="32" t="s">
        <v>44</v>
      </c>
      <c r="F82" s="32" t="s">
        <v>45</v>
      </c>
    </row>
    <row r="83" spans="1:10" ht="14.1" customHeight="1" x14ac:dyDescent="0.25">
      <c r="A83" s="33" t="s">
        <v>55</v>
      </c>
      <c r="B83" s="34" t="str">
        <f ca="1">IFERROR(INDEX(UNSPSCDes,MATCH(INDIRECT(ADDRESS(ROW(),COLUMN()-1,4)),UNSPSCCode,0)),IF(INDIRECT(ADDRESS(ROW(),COLUMN()-1,4))="56101522","Sillas de brazos",""))</f>
        <v>Sillas de brazos</v>
      </c>
      <c r="C83" s="35" t="str">
        <f>IFERROR(VLOOKUP("UD",'[1]Informacion '!P:Q,2,FALSE),"")</f>
        <v>Unidad</v>
      </c>
      <c r="D83" s="33">
        <v>4</v>
      </c>
      <c r="E83" s="36">
        <v>25000</v>
      </c>
      <c r="F83" s="37">
        <f t="shared" ref="F83:F91" ca="1" si="0">INDIRECT(ADDRESS(ROW(),COLUMN()-2,4))*INDIRECT(ADDRESS(ROW(),COLUMN()-1,4))</f>
        <v>100000</v>
      </c>
    </row>
    <row r="84" spans="1:10" ht="14.1" customHeight="1" x14ac:dyDescent="0.25">
      <c r="A84" s="33" t="s">
        <v>57</v>
      </c>
      <c r="B84" s="34" t="str">
        <f ca="1">IFERROR(INDEX(UNSPSCDes,MATCH(INDIRECT(ADDRESS(ROW(),COLUMN()-1,4)),UNSPSCCode,0)),IF(INDIRECT(ADDRESS(ROW(),COLUMN()-1,4))="56101519","Mesas",""))</f>
        <v>Mesas</v>
      </c>
      <c r="C84" s="35" t="str">
        <f>IFERROR(VLOOKUP("UD",'[1]Informacion '!P:Q,2,FALSE),"")</f>
        <v>Unidad</v>
      </c>
      <c r="D84" s="33">
        <v>1</v>
      </c>
      <c r="E84" s="36">
        <v>30000</v>
      </c>
      <c r="F84" s="37">
        <f t="shared" ca="1" si="0"/>
        <v>30000</v>
      </c>
    </row>
    <row r="85" spans="1:10" ht="14.1" customHeight="1" x14ac:dyDescent="0.25">
      <c r="A85" s="33" t="s">
        <v>58</v>
      </c>
      <c r="B85" s="34" t="str">
        <f ca="1">IFERROR(INDEX(UNSPSCDes,MATCH(INDIRECT(ADDRESS(ROW(),COLUMN()-1,4)),UNSPSCCode,0)),IF(INDIRECT(ADDRESS(ROW(),COLUMN()-1,4))="56111906","Gabinetes o cajones o estantes industriales",""))</f>
        <v>Gabinetes o cajones o estantes industriales</v>
      </c>
      <c r="C85" s="35" t="str">
        <f>IFERROR(VLOOKUP("UD",'[1]Informacion '!P:Q,2,FALSE),"")</f>
        <v>Unidad</v>
      </c>
      <c r="D85" s="33">
        <v>2</v>
      </c>
      <c r="E85" s="36">
        <v>16000</v>
      </c>
      <c r="F85" s="37">
        <f t="shared" ca="1" si="0"/>
        <v>32000</v>
      </c>
    </row>
    <row r="86" spans="1:10" ht="14.1" customHeight="1" x14ac:dyDescent="0.25">
      <c r="A86" s="33" t="s">
        <v>56</v>
      </c>
      <c r="B86" s="34" t="str">
        <f ca="1">IFERROR(INDEX(UNSPSCDes,MATCH(INDIRECT(ADDRESS(ROW(),COLUMN()-1,4)),UNSPSCCode,0)),IF(INDIRECT(ADDRESS(ROW(),COLUMN()-1,4))="56101703","Escritorios",""))</f>
        <v>Escritorios</v>
      </c>
      <c r="C86" s="35" t="str">
        <f>IFERROR(VLOOKUP("UD",'[1]Informacion '!P:Q,2,FALSE),"")</f>
        <v>Unidad</v>
      </c>
      <c r="D86" s="33">
        <v>3</v>
      </c>
      <c r="E86" s="36">
        <v>20000</v>
      </c>
      <c r="F86" s="37">
        <f t="shared" ca="1" si="0"/>
        <v>60000</v>
      </c>
    </row>
    <row r="87" spans="1:10" ht="14.1" customHeight="1" x14ac:dyDescent="0.25">
      <c r="A87" s="33" t="s">
        <v>59</v>
      </c>
      <c r="B87" s="34" t="str">
        <f ca="1">IFERROR(INDEX(UNSPSCDes,MATCH(INDIRECT(ADDRESS(ROW(),COLUMN()-1,4)),UNSPSCCode,0)),IF(INDIRECT(ADDRESS(ROW(),COLUMN()-1,4))="56101530","Gabinetes de almacenamiento",""))</f>
        <v>Gabinetes de almacenamiento</v>
      </c>
      <c r="C87" s="35" t="str">
        <f>IFERROR(VLOOKUP("UD",'[1]Informacion '!P:Q,2,FALSE),"")</f>
        <v>Unidad</v>
      </c>
      <c r="D87" s="33">
        <v>2</v>
      </c>
      <c r="E87" s="36">
        <v>26000</v>
      </c>
      <c r="F87" s="37">
        <f t="shared" ca="1" si="0"/>
        <v>52000</v>
      </c>
    </row>
    <row r="88" spans="1:10" ht="14.1" customHeight="1" x14ac:dyDescent="0.25">
      <c r="A88" s="33" t="s">
        <v>60</v>
      </c>
      <c r="B88" s="34" t="str">
        <f ca="1">IFERROR(INDEX(UNSPSCDes,MATCH(INDIRECT(ADDRESS(ROW(),COLUMN()-1,4)),UNSPSCCode,0)),IF(INDIRECT(ADDRESS(ROW(),COLUMN()-1,4))="56101706","Mesas de conferencia",""))</f>
        <v>Mesas de conferencia</v>
      </c>
      <c r="C88" s="35" t="str">
        <f>IFERROR(VLOOKUP("UD",'[1]Informacion '!P:Q,2,FALSE),"")</f>
        <v>Unidad</v>
      </c>
      <c r="D88" s="33">
        <v>1</v>
      </c>
      <c r="E88" s="36">
        <v>400000</v>
      </c>
      <c r="F88" s="37">
        <f t="shared" ca="1" si="0"/>
        <v>400000</v>
      </c>
    </row>
    <row r="89" spans="1:10" ht="14.1" customHeight="1" x14ac:dyDescent="0.25">
      <c r="A89" s="33" t="s">
        <v>61</v>
      </c>
      <c r="B89" s="34" t="str">
        <f ca="1">IFERROR(INDEX(UNSPSCDes,MATCH(INDIRECT(ADDRESS(ROW(),COLUMN()-1,4)),UNSPSCCode,0)),IF(INDIRECT(ADDRESS(ROW(),COLUMN()-1,4))="56101708","Archivadores móviles",""))</f>
        <v>Archivadores móviles</v>
      </c>
      <c r="C89" s="35" t="str">
        <f>IFERROR(VLOOKUP("UD",'[1]Informacion '!P:Q,2,FALSE),"")</f>
        <v>Unidad</v>
      </c>
      <c r="D89" s="33">
        <v>5</v>
      </c>
      <c r="E89" s="36">
        <v>24000</v>
      </c>
      <c r="F89" s="37">
        <f t="shared" ca="1" si="0"/>
        <v>120000</v>
      </c>
    </row>
    <row r="90" spans="1:10" ht="14.1" customHeight="1" x14ac:dyDescent="0.25">
      <c r="A90" s="33" t="s">
        <v>62</v>
      </c>
      <c r="B90" s="34" t="str">
        <f ca="1">IFERROR(INDEX(UNSPSCDes,MATCH(INDIRECT(ADDRESS(ROW(),COLUMN()-1,4)),UNSPSCCode,0)),IF(INDIRECT(ADDRESS(ROW(),COLUMN()-1,4))="56111509","Paquetes de muebles para técnicos modulares",""))</f>
        <v>Paquetes de muebles para técnicos modulares</v>
      </c>
      <c r="C90" s="35" t="str">
        <f>IFERROR(VLOOKUP("UD",'[1]Informacion '!P:Q,2,FALSE),"")</f>
        <v>Unidad</v>
      </c>
      <c r="D90" s="33">
        <v>1</v>
      </c>
      <c r="E90" s="36">
        <v>60000</v>
      </c>
      <c r="F90" s="37">
        <f t="shared" ca="1" si="0"/>
        <v>60000</v>
      </c>
    </row>
    <row r="91" spans="1:10" ht="14.1" customHeight="1" x14ac:dyDescent="0.25">
      <c r="A91" s="33" t="s">
        <v>55</v>
      </c>
      <c r="B91" s="34" t="str">
        <f ca="1">IFERROR(INDEX(UNSPSCDes,MATCH(INDIRECT(ADDRESS(ROW(),COLUMN()-1,4)),UNSPSCCode,0)),IF(INDIRECT(ADDRESS(ROW(),COLUMN()-1,4))="56101522","Sillas de brazos",""))</f>
        <v>Sillas de brazos</v>
      </c>
      <c r="C91" s="35" t="str">
        <f>IFERROR(VLOOKUP("UD",'[1]Informacion '!P:Q,2,FALSE),"")</f>
        <v>Unidad</v>
      </c>
      <c r="D91" s="33">
        <v>2</v>
      </c>
      <c r="E91" s="36">
        <v>12000</v>
      </c>
      <c r="F91" s="37">
        <f t="shared" ca="1" si="0"/>
        <v>24000</v>
      </c>
    </row>
    <row r="92" spans="1:10" ht="14.1" customHeight="1" x14ac:dyDescent="0.25">
      <c r="E92" s="38" t="s">
        <v>48</v>
      </c>
      <c r="F92" s="39">
        <f ca="1">SUM(Table9[MONTO TOTAL ESTIMADO])</f>
        <v>878000</v>
      </c>
      <c r="H92" s="25" t="str">
        <f>C76</f>
        <v>Bienes</v>
      </c>
      <c r="I92" s="25" t="str">
        <f>E76</f>
        <v>Sí</v>
      </c>
      <c r="J92" s="25" t="str">
        <f>D76</f>
        <v>Compras Menores</v>
      </c>
    </row>
    <row r="93" spans="1:10" ht="14.1" customHeight="1" x14ac:dyDescent="0.25"/>
    <row r="94" spans="1:10" ht="34.15" customHeight="1" thickBot="1" x14ac:dyDescent="0.3">
      <c r="A94" s="24" t="s">
        <v>19</v>
      </c>
      <c r="B94" s="24" t="s">
        <v>20</v>
      </c>
      <c r="C94" s="24" t="s">
        <v>21</v>
      </c>
      <c r="D94" s="24" t="s">
        <v>22</v>
      </c>
      <c r="E94" s="24" t="s">
        <v>23</v>
      </c>
      <c r="F94" s="24" t="s">
        <v>24</v>
      </c>
    </row>
    <row r="95" spans="1:10" ht="14.1" customHeight="1" thickBot="1" x14ac:dyDescent="0.3">
      <c r="A95" s="26" t="s">
        <v>52</v>
      </c>
      <c r="B95" s="26" t="s">
        <v>52</v>
      </c>
      <c r="C95" s="26" t="s">
        <v>27</v>
      </c>
      <c r="D95" s="26" t="s">
        <v>53</v>
      </c>
      <c r="E95" s="26" t="s">
        <v>54</v>
      </c>
      <c r="F95" s="26"/>
    </row>
    <row r="96" spans="1:10" ht="14.1" customHeight="1" thickBot="1" x14ac:dyDescent="0.3">
      <c r="A96" s="43" t="s">
        <v>30</v>
      </c>
      <c r="B96" s="27" t="s">
        <v>31</v>
      </c>
      <c r="C96" s="28">
        <v>44743</v>
      </c>
      <c r="D96" s="43" t="s">
        <v>32</v>
      </c>
      <c r="E96" s="29" t="s">
        <v>33</v>
      </c>
      <c r="F96" s="30" t="s">
        <v>34</v>
      </c>
    </row>
    <row r="97" spans="1:10" ht="14.1" customHeight="1" thickBot="1" x14ac:dyDescent="0.3">
      <c r="A97" s="44"/>
      <c r="B97" s="27" t="s">
        <v>35</v>
      </c>
      <c r="C97" s="31">
        <f>IF(C96="","",IF(AND(MONTH(C96)&gt;=1,MONTH(C96)&lt;=3),1,IF(AND(MONTH(C96)&gt;=4,MONTH(C96)&lt;=6),2,IF(AND(MONTH(C96)&gt;=7,MONTH(C96)&lt;=9),3,4))))</f>
        <v>3</v>
      </c>
      <c r="D97" s="44"/>
      <c r="E97" s="29" t="s">
        <v>36</v>
      </c>
      <c r="F97" s="30"/>
    </row>
    <row r="98" spans="1:10" ht="14.1" customHeight="1" thickBot="1" x14ac:dyDescent="0.3">
      <c r="A98" s="44"/>
      <c r="B98" s="27" t="s">
        <v>37</v>
      </c>
      <c r="C98" s="28">
        <v>44834</v>
      </c>
      <c r="D98" s="44"/>
      <c r="E98" s="29" t="s">
        <v>38</v>
      </c>
      <c r="F98" s="30"/>
    </row>
    <row r="99" spans="1:10" ht="14.1" customHeight="1" thickBot="1" x14ac:dyDescent="0.3">
      <c r="A99" s="44"/>
      <c r="B99" s="27" t="s">
        <v>35</v>
      </c>
      <c r="C99" s="31">
        <f>IF(C98="","",IF(AND(MONTH(C98)&gt;=1,MONTH(C98)&lt;=3),1,IF(AND(MONTH(C98)&gt;=4,MONTH(C98)&lt;=6),2,IF(AND(MONTH(C98)&gt;=7,MONTH(C98)&lt;=9),3,4))))</f>
        <v>3</v>
      </c>
      <c r="D99" s="44"/>
      <c r="E99" s="29" t="s">
        <v>39</v>
      </c>
      <c r="F99" s="30"/>
    </row>
    <row r="100" spans="1:10" ht="14.1" customHeight="1" x14ac:dyDescent="0.25"/>
    <row r="101" spans="1:10" ht="14.1" customHeight="1" thickBot="1" x14ac:dyDescent="0.3">
      <c r="A101" s="32" t="s">
        <v>40</v>
      </c>
      <c r="B101" s="32" t="s">
        <v>41</v>
      </c>
      <c r="C101" s="32" t="s">
        <v>42</v>
      </c>
      <c r="D101" s="32" t="s">
        <v>43</v>
      </c>
      <c r="E101" s="32" t="s">
        <v>44</v>
      </c>
      <c r="F101" s="32" t="s">
        <v>45</v>
      </c>
    </row>
    <row r="102" spans="1:10" ht="14.1" customHeight="1" x14ac:dyDescent="0.25">
      <c r="A102" s="33" t="s">
        <v>55</v>
      </c>
      <c r="B102" s="34" t="str">
        <f ca="1">IFERROR(INDEX(UNSPSCDes,MATCH(INDIRECT(ADDRESS(ROW(),COLUMN()-1,4)),UNSPSCCode,0)),IF(INDIRECT(ADDRESS(ROW(),COLUMN()-1,4))="56101522","Sillas de brazos",""))</f>
        <v>Sillas de brazos</v>
      </c>
      <c r="C102" s="35" t="str">
        <f>IFERROR(VLOOKUP("UD",'[1]Informacion '!P:Q,2,FALSE),"")</f>
        <v>Unidad</v>
      </c>
      <c r="D102" s="33">
        <v>4</v>
      </c>
      <c r="E102" s="36">
        <v>12000</v>
      </c>
      <c r="F102" s="37">
        <f ca="1">INDIRECT(ADDRESS(ROW(),COLUMN()-2,4))*INDIRECT(ADDRESS(ROW(),COLUMN()-1,4))</f>
        <v>48000</v>
      </c>
    </row>
    <row r="103" spans="1:10" ht="14.1" customHeight="1" x14ac:dyDescent="0.25">
      <c r="E103" s="38" t="s">
        <v>48</v>
      </c>
      <c r="F103" s="39">
        <f ca="1">SUM(Table10[MONTO TOTAL ESTIMADO])</f>
        <v>48000</v>
      </c>
      <c r="H103" s="25" t="str">
        <f>C95</f>
        <v>Bienes</v>
      </c>
      <c r="I103" s="25" t="str">
        <f>E95</f>
        <v>Sí</v>
      </c>
      <c r="J103" s="25" t="str">
        <f>D95</f>
        <v>Compras por debajo del Umbral</v>
      </c>
    </row>
    <row r="104" spans="1:10" ht="14.1" customHeight="1" x14ac:dyDescent="0.25"/>
    <row r="105" spans="1:10" ht="34.15" customHeight="1" thickBot="1" x14ac:dyDescent="0.3">
      <c r="A105" s="24" t="s">
        <v>19</v>
      </c>
      <c r="B105" s="24" t="s">
        <v>20</v>
      </c>
      <c r="C105" s="24" t="s">
        <v>21</v>
      </c>
      <c r="D105" s="24" t="s">
        <v>22</v>
      </c>
      <c r="E105" s="24" t="s">
        <v>23</v>
      </c>
      <c r="F105" s="24" t="s">
        <v>24</v>
      </c>
    </row>
    <row r="106" spans="1:10" ht="14.1" customHeight="1" thickBot="1" x14ac:dyDescent="0.3">
      <c r="A106" s="26" t="s">
        <v>52</v>
      </c>
      <c r="B106" s="26" t="s">
        <v>52</v>
      </c>
      <c r="C106" s="26" t="s">
        <v>27</v>
      </c>
      <c r="D106" s="26" t="s">
        <v>53</v>
      </c>
      <c r="E106" s="26" t="s">
        <v>54</v>
      </c>
      <c r="F106" s="26"/>
    </row>
    <row r="107" spans="1:10" ht="14.1" customHeight="1" thickBot="1" x14ac:dyDescent="0.3">
      <c r="A107" s="43" t="s">
        <v>30</v>
      </c>
      <c r="B107" s="27" t="s">
        <v>31</v>
      </c>
      <c r="C107" s="28">
        <v>44835</v>
      </c>
      <c r="D107" s="43" t="s">
        <v>32</v>
      </c>
      <c r="E107" s="29" t="s">
        <v>33</v>
      </c>
      <c r="F107" s="30" t="s">
        <v>34</v>
      </c>
    </row>
    <row r="108" spans="1:10" ht="14.1" customHeight="1" thickBot="1" x14ac:dyDescent="0.3">
      <c r="A108" s="44"/>
      <c r="B108" s="27" t="s">
        <v>35</v>
      </c>
      <c r="C108" s="31">
        <f>IF(C107="","",IF(AND(MONTH(C107)&gt;=1,MONTH(C107)&lt;=3),1,IF(AND(MONTH(C107)&gt;=4,MONTH(C107)&lt;=6),2,IF(AND(MONTH(C107)&gt;=7,MONTH(C107)&lt;=9),3,4))))</f>
        <v>4</v>
      </c>
      <c r="D108" s="44"/>
      <c r="E108" s="29" t="s">
        <v>36</v>
      </c>
      <c r="F108" s="30"/>
    </row>
    <row r="109" spans="1:10" ht="14.1" customHeight="1" thickBot="1" x14ac:dyDescent="0.3">
      <c r="A109" s="44"/>
      <c r="B109" s="27" t="s">
        <v>37</v>
      </c>
      <c r="C109" s="28">
        <v>44926</v>
      </c>
      <c r="D109" s="44"/>
      <c r="E109" s="29" t="s">
        <v>38</v>
      </c>
      <c r="F109" s="30"/>
    </row>
    <row r="110" spans="1:10" ht="14.1" customHeight="1" thickBot="1" x14ac:dyDescent="0.3">
      <c r="A110" s="44"/>
      <c r="B110" s="27" t="s">
        <v>35</v>
      </c>
      <c r="C110" s="31">
        <f>IF(C109="","",IF(AND(MONTH(C109)&gt;=1,MONTH(C109)&lt;=3),1,IF(AND(MONTH(C109)&gt;=4,MONTH(C109)&lt;=6),2,IF(AND(MONTH(C109)&gt;=7,MONTH(C109)&lt;=9),3,4))))</f>
        <v>4</v>
      </c>
      <c r="D110" s="44"/>
      <c r="E110" s="29" t="s">
        <v>39</v>
      </c>
      <c r="F110" s="30"/>
    </row>
    <row r="111" spans="1:10" ht="14.1" customHeight="1" x14ac:dyDescent="0.25"/>
    <row r="112" spans="1:10" ht="14.1" customHeight="1" thickBot="1" x14ac:dyDescent="0.3">
      <c r="A112" s="32" t="s">
        <v>40</v>
      </c>
      <c r="B112" s="32" t="s">
        <v>41</v>
      </c>
      <c r="C112" s="32" t="s">
        <v>42</v>
      </c>
      <c r="D112" s="32" t="s">
        <v>43</v>
      </c>
      <c r="E112" s="32" t="s">
        <v>44</v>
      </c>
      <c r="F112" s="32" t="s">
        <v>45</v>
      </c>
    </row>
    <row r="113" spans="1:10" ht="14.1" customHeight="1" x14ac:dyDescent="0.25">
      <c r="A113" s="33" t="s">
        <v>55</v>
      </c>
      <c r="B113" s="34" t="str">
        <f ca="1">IFERROR(INDEX(UNSPSCDes,MATCH(INDIRECT(ADDRESS(ROW(),COLUMN()-1,4)),UNSPSCCode,0)),IF(INDIRECT(ADDRESS(ROW(),COLUMN()-1,4))="56101522","Sillas de brazos",""))</f>
        <v>Sillas de brazos</v>
      </c>
      <c r="C113" s="35" t="str">
        <f>IFERROR(VLOOKUP("UD",'[1]Informacion '!P:Q,2,FALSE),"")</f>
        <v>Unidad</v>
      </c>
      <c r="D113" s="33">
        <v>4</v>
      </c>
      <c r="E113" s="36">
        <v>12000</v>
      </c>
      <c r="F113" s="37">
        <f ca="1">INDIRECT(ADDRESS(ROW(),COLUMN()-2,4))*INDIRECT(ADDRESS(ROW(),COLUMN()-1,4))</f>
        <v>48000</v>
      </c>
    </row>
    <row r="114" spans="1:10" ht="14.1" customHeight="1" x14ac:dyDescent="0.25">
      <c r="E114" s="38" t="s">
        <v>48</v>
      </c>
      <c r="F114" s="39">
        <f ca="1">SUM(Table11[MONTO TOTAL ESTIMADO])</f>
        <v>48000</v>
      </c>
      <c r="H114" s="25" t="str">
        <f>C106</f>
        <v>Bienes</v>
      </c>
      <c r="I114" s="25" t="str">
        <f>E106</f>
        <v>Sí</v>
      </c>
      <c r="J114" s="25" t="str">
        <f>D106</f>
        <v>Compras por debajo del Umbral</v>
      </c>
    </row>
    <row r="115" spans="1:10" ht="14.1" customHeight="1" x14ac:dyDescent="0.25"/>
    <row r="116" spans="1:10" ht="34.15" customHeight="1" thickBot="1" x14ac:dyDescent="0.3">
      <c r="A116" s="24" t="s">
        <v>19</v>
      </c>
      <c r="B116" s="24" t="s">
        <v>20</v>
      </c>
      <c r="C116" s="24" t="s">
        <v>21</v>
      </c>
      <c r="D116" s="24" t="s">
        <v>22</v>
      </c>
      <c r="E116" s="24" t="s">
        <v>23</v>
      </c>
      <c r="F116" s="24" t="s">
        <v>24</v>
      </c>
    </row>
    <row r="117" spans="1:10" ht="14.1" customHeight="1" thickBot="1" x14ac:dyDescent="0.3">
      <c r="A117" s="26" t="s">
        <v>63</v>
      </c>
      <c r="B117" s="26" t="s">
        <v>63</v>
      </c>
      <c r="C117" s="26" t="s">
        <v>64</v>
      </c>
      <c r="D117" s="26" t="s">
        <v>28</v>
      </c>
      <c r="E117" s="26" t="s">
        <v>54</v>
      </c>
      <c r="F117" s="26"/>
    </row>
    <row r="118" spans="1:10" ht="14.1" customHeight="1" thickBot="1" x14ac:dyDescent="0.3">
      <c r="A118" s="43" t="s">
        <v>30</v>
      </c>
      <c r="B118" s="27" t="s">
        <v>31</v>
      </c>
      <c r="C118" s="28">
        <v>44576</v>
      </c>
      <c r="D118" s="43" t="s">
        <v>32</v>
      </c>
      <c r="E118" s="29" t="s">
        <v>33</v>
      </c>
      <c r="F118" s="30" t="s">
        <v>34</v>
      </c>
    </row>
    <row r="119" spans="1:10" ht="14.1" customHeight="1" thickBot="1" x14ac:dyDescent="0.3">
      <c r="A119" s="44"/>
      <c r="B119" s="27" t="s">
        <v>35</v>
      </c>
      <c r="C119" s="31">
        <f>IF(C118="","",IF(AND(MONTH(C118)&gt;=1,MONTH(C118)&lt;=3),1,IF(AND(MONTH(C118)&gt;=4,MONTH(C118)&lt;=6),2,IF(AND(MONTH(C118)&gt;=7,MONTH(C118)&lt;=9),3,4))))</f>
        <v>1</v>
      </c>
      <c r="D119" s="44"/>
      <c r="E119" s="29" t="s">
        <v>36</v>
      </c>
      <c r="F119" s="30"/>
    </row>
    <row r="120" spans="1:10" ht="14.1" customHeight="1" thickBot="1" x14ac:dyDescent="0.3">
      <c r="A120" s="44"/>
      <c r="B120" s="27" t="s">
        <v>37</v>
      </c>
      <c r="C120" s="28">
        <v>44651</v>
      </c>
      <c r="D120" s="44"/>
      <c r="E120" s="29" t="s">
        <v>38</v>
      </c>
      <c r="F120" s="30"/>
    </row>
    <row r="121" spans="1:10" ht="14.1" customHeight="1" thickBot="1" x14ac:dyDescent="0.3">
      <c r="A121" s="44"/>
      <c r="B121" s="27" t="s">
        <v>35</v>
      </c>
      <c r="C121" s="31">
        <f>IF(C120="","",IF(AND(MONTH(C120)&gt;=1,MONTH(C120)&lt;=3),1,IF(AND(MONTH(C120)&gt;=4,MONTH(C120)&lt;=6),2,IF(AND(MONTH(C120)&gt;=7,MONTH(C120)&lt;=9),3,4))))</f>
        <v>1</v>
      </c>
      <c r="D121" s="44"/>
      <c r="E121" s="29" t="s">
        <v>39</v>
      </c>
      <c r="F121" s="30"/>
    </row>
    <row r="122" spans="1:10" ht="14.1" customHeight="1" x14ac:dyDescent="0.25"/>
    <row r="123" spans="1:10" ht="14.1" customHeight="1" thickBot="1" x14ac:dyDescent="0.3">
      <c r="A123" s="32" t="s">
        <v>40</v>
      </c>
      <c r="B123" s="32" t="s">
        <v>41</v>
      </c>
      <c r="C123" s="32" t="s">
        <v>42</v>
      </c>
      <c r="D123" s="32" t="s">
        <v>43</v>
      </c>
      <c r="E123" s="32" t="s">
        <v>44</v>
      </c>
      <c r="F123" s="32" t="s">
        <v>45</v>
      </c>
    </row>
    <row r="124" spans="1:10" ht="14.1" customHeight="1" x14ac:dyDescent="0.25">
      <c r="A124" s="33" t="s">
        <v>65</v>
      </c>
      <c r="B124" s="34" t="str">
        <f ca="1">IFERROR(INDEX(UNSPSCDes,MATCH(INDIRECT(ADDRESS(ROW(),COLUMN()-1,4)),UNSPSCCode,0)),IF(INDIRECT(ADDRESS(ROW(),COLUMN()-1,4))="72101506","Servicios de mantenimiento de elevadores. ",""))</f>
        <v xml:space="preserve">Servicios de mantenimiento de elevadores. </v>
      </c>
      <c r="C124" s="35" t="str">
        <f>IFERROR(VLOOKUP("UD",'[1]Informacion '!P:Q,2,FALSE),"")</f>
        <v>Unidad</v>
      </c>
      <c r="D124" s="33">
        <v>1</v>
      </c>
      <c r="E124" s="36">
        <v>150000</v>
      </c>
      <c r="F124" s="37">
        <f ca="1">INDIRECT(ADDRESS(ROW(),COLUMN()-2,4))*INDIRECT(ADDRESS(ROW(),COLUMN()-1,4))</f>
        <v>150000</v>
      </c>
    </row>
    <row r="125" spans="1:10" ht="14.1" customHeight="1" x14ac:dyDescent="0.25">
      <c r="E125" s="38" t="s">
        <v>48</v>
      </c>
      <c r="F125" s="39">
        <f ca="1">SUM(Table12[MONTO TOTAL ESTIMADO])</f>
        <v>150000</v>
      </c>
      <c r="H125" s="25" t="str">
        <f>C117</f>
        <v>Servicios</v>
      </c>
      <c r="I125" s="25" t="str">
        <f>E117</f>
        <v>Sí</v>
      </c>
      <c r="J125" s="25" t="str">
        <f>D117</f>
        <v>Compras Menores</v>
      </c>
    </row>
    <row r="126" spans="1:10" ht="14.1" customHeight="1" x14ac:dyDescent="0.25"/>
    <row r="127" spans="1:10" ht="34.15" customHeight="1" thickBot="1" x14ac:dyDescent="0.3">
      <c r="A127" s="24" t="s">
        <v>19</v>
      </c>
      <c r="B127" s="24" t="s">
        <v>20</v>
      </c>
      <c r="C127" s="24" t="s">
        <v>21</v>
      </c>
      <c r="D127" s="24" t="s">
        <v>22</v>
      </c>
      <c r="E127" s="24" t="s">
        <v>23</v>
      </c>
      <c r="F127" s="24" t="s">
        <v>24</v>
      </c>
    </row>
    <row r="128" spans="1:10" ht="14.1" customHeight="1" thickBot="1" x14ac:dyDescent="0.3">
      <c r="A128" s="26" t="s">
        <v>66</v>
      </c>
      <c r="B128" s="26" t="s">
        <v>66</v>
      </c>
      <c r="C128" s="26" t="s">
        <v>27</v>
      </c>
      <c r="D128" s="26" t="s">
        <v>53</v>
      </c>
      <c r="E128" s="26" t="s">
        <v>29</v>
      </c>
      <c r="F128" s="26"/>
    </row>
    <row r="129" spans="1:10" ht="14.1" customHeight="1" thickBot="1" x14ac:dyDescent="0.3">
      <c r="A129" s="43" t="s">
        <v>30</v>
      </c>
      <c r="B129" s="27" t="s">
        <v>31</v>
      </c>
      <c r="C129" s="28">
        <v>44576</v>
      </c>
      <c r="D129" s="43" t="s">
        <v>32</v>
      </c>
      <c r="E129" s="29" t="s">
        <v>33</v>
      </c>
      <c r="F129" s="30" t="s">
        <v>34</v>
      </c>
    </row>
    <row r="130" spans="1:10" ht="14.1" customHeight="1" thickBot="1" x14ac:dyDescent="0.3">
      <c r="A130" s="44"/>
      <c r="B130" s="27" t="s">
        <v>35</v>
      </c>
      <c r="C130" s="31">
        <f>IF(C129="","",IF(AND(MONTH(C129)&gt;=1,MONTH(C129)&lt;=3),1,IF(AND(MONTH(C129)&gt;=4,MONTH(C129)&lt;=6),2,IF(AND(MONTH(C129)&gt;=7,MONTH(C129)&lt;=9),3,4))))</f>
        <v>1</v>
      </c>
      <c r="D130" s="44"/>
      <c r="E130" s="29" t="s">
        <v>36</v>
      </c>
      <c r="F130" s="30"/>
    </row>
    <row r="131" spans="1:10" ht="14.1" customHeight="1" thickBot="1" x14ac:dyDescent="0.3">
      <c r="A131" s="44"/>
      <c r="B131" s="27" t="s">
        <v>37</v>
      </c>
      <c r="C131" s="28">
        <v>44651</v>
      </c>
      <c r="D131" s="44"/>
      <c r="E131" s="29" t="s">
        <v>38</v>
      </c>
      <c r="F131" s="30"/>
    </row>
    <row r="132" spans="1:10" ht="14.1" customHeight="1" thickBot="1" x14ac:dyDescent="0.3">
      <c r="A132" s="44"/>
      <c r="B132" s="27" t="s">
        <v>35</v>
      </c>
      <c r="C132" s="31">
        <f>IF(C131="","",IF(AND(MONTH(C131)&gt;=1,MONTH(C131)&lt;=3),1,IF(AND(MONTH(C131)&gt;=4,MONTH(C131)&lt;=6),2,IF(AND(MONTH(C131)&gt;=7,MONTH(C131)&lt;=9),3,4))))</f>
        <v>1</v>
      </c>
      <c r="D132" s="44"/>
      <c r="E132" s="29" t="s">
        <v>39</v>
      </c>
      <c r="F132" s="30"/>
    </row>
    <row r="133" spans="1:10" ht="14.1" customHeight="1" x14ac:dyDescent="0.25"/>
    <row r="134" spans="1:10" ht="14.1" customHeight="1" thickBot="1" x14ac:dyDescent="0.3">
      <c r="A134" s="32" t="s">
        <v>40</v>
      </c>
      <c r="B134" s="32" t="s">
        <v>41</v>
      </c>
      <c r="C134" s="32" t="s">
        <v>42</v>
      </c>
      <c r="D134" s="32" t="s">
        <v>43</v>
      </c>
      <c r="E134" s="32" t="s">
        <v>44</v>
      </c>
      <c r="F134" s="32" t="s">
        <v>45</v>
      </c>
    </row>
    <row r="135" spans="1:10" ht="14.1" customHeight="1" x14ac:dyDescent="0.25">
      <c r="A135" s="33" t="s">
        <v>67</v>
      </c>
      <c r="B135" s="34" t="str">
        <f ca="1">IFERROR(INDEX(UNSPSCDes,MATCH(INDIRECT(ADDRESS(ROW(),COLUMN()-1,4)),UNSPSCCode,0)),IF(INDIRECT(ADDRESS(ROW(),COLUMN()-1,4))="26111703","Baterías para vehículos",""))</f>
        <v>Baterías para vehículos</v>
      </c>
      <c r="C135" s="35" t="str">
        <f>IFERROR(VLOOKUP("UD",'[1]Informacion '!P:Q,2,FALSE),"")</f>
        <v>Unidad</v>
      </c>
      <c r="D135" s="33">
        <v>2</v>
      </c>
      <c r="E135" s="36">
        <v>9000</v>
      </c>
      <c r="F135" s="37">
        <f ca="1">INDIRECT(ADDRESS(ROW(),COLUMN()-2,4))*INDIRECT(ADDRESS(ROW(),COLUMN()-1,4))</f>
        <v>18000</v>
      </c>
    </row>
    <row r="136" spans="1:10" ht="14.1" customHeight="1" x14ac:dyDescent="0.25">
      <c r="A136" s="33" t="s">
        <v>68</v>
      </c>
      <c r="B136" s="34" t="str">
        <f ca="1">IFERROR(INDEX(UNSPSCDes,MATCH(INDIRECT(ADDRESS(ROW(),COLUMN()-1,4)),UNSPSCCode,0)),IF(INDIRECT(ADDRESS(ROW(),COLUMN()-1,4))="25172502"," Cámara de neumático de automóvil",""))</f>
        <v xml:space="preserve"> Cámara de neumático de automóvil</v>
      </c>
      <c r="C136" s="35" t="str">
        <f>IFERROR(VLOOKUP("UD",'[1]Informacion '!P:Q,2,FALSE),"")</f>
        <v>Unidad</v>
      </c>
      <c r="D136" s="33">
        <v>8</v>
      </c>
      <c r="E136" s="36">
        <v>10000</v>
      </c>
      <c r="F136" s="37">
        <f ca="1">INDIRECT(ADDRESS(ROW(),COLUMN()-2,4))*INDIRECT(ADDRESS(ROW(),COLUMN()-1,4))</f>
        <v>80000</v>
      </c>
    </row>
    <row r="137" spans="1:10" ht="14.1" customHeight="1" x14ac:dyDescent="0.25">
      <c r="E137" s="38" t="s">
        <v>48</v>
      </c>
      <c r="F137" s="39">
        <f ca="1">SUM(Table13[MONTO TOTAL ESTIMADO])</f>
        <v>98000</v>
      </c>
      <c r="H137" s="25" t="str">
        <f>C128</f>
        <v>Bienes</v>
      </c>
      <c r="I137" s="25" t="str">
        <f>E128</f>
        <v>No</v>
      </c>
      <c r="J137" s="25" t="str">
        <f>D128</f>
        <v>Compras por debajo del Umbral</v>
      </c>
    </row>
    <row r="138" spans="1:10" ht="14.1" customHeight="1" x14ac:dyDescent="0.25"/>
    <row r="139" spans="1:10" ht="34.15" customHeight="1" thickBot="1" x14ac:dyDescent="0.3">
      <c r="A139" s="24" t="s">
        <v>19</v>
      </c>
      <c r="B139" s="24" t="s">
        <v>20</v>
      </c>
      <c r="C139" s="24" t="s">
        <v>21</v>
      </c>
      <c r="D139" s="24" t="s">
        <v>22</v>
      </c>
      <c r="E139" s="24" t="s">
        <v>23</v>
      </c>
      <c r="F139" s="24" t="s">
        <v>24</v>
      </c>
    </row>
    <row r="140" spans="1:10" ht="14.1" customHeight="1" thickBot="1" x14ac:dyDescent="0.3">
      <c r="A140" s="26" t="s">
        <v>66</v>
      </c>
      <c r="B140" s="26" t="s">
        <v>66</v>
      </c>
      <c r="C140" s="26" t="s">
        <v>27</v>
      </c>
      <c r="D140" s="26" t="s">
        <v>53</v>
      </c>
      <c r="E140" s="26" t="s">
        <v>29</v>
      </c>
      <c r="F140" s="26"/>
    </row>
    <row r="141" spans="1:10" ht="14.1" customHeight="1" thickBot="1" x14ac:dyDescent="0.3">
      <c r="A141" s="43" t="s">
        <v>30</v>
      </c>
      <c r="B141" s="27" t="s">
        <v>31</v>
      </c>
      <c r="C141" s="28">
        <v>44652</v>
      </c>
      <c r="D141" s="43" t="s">
        <v>32</v>
      </c>
      <c r="E141" s="29" t="s">
        <v>33</v>
      </c>
      <c r="F141" s="30" t="s">
        <v>34</v>
      </c>
    </row>
    <row r="142" spans="1:10" ht="14.1" customHeight="1" thickBot="1" x14ac:dyDescent="0.3">
      <c r="A142" s="44"/>
      <c r="B142" s="27" t="s">
        <v>35</v>
      </c>
      <c r="C142" s="31">
        <f>IF(C141="","",IF(AND(MONTH(C141)&gt;=1,MONTH(C141)&lt;=3),1,IF(AND(MONTH(C141)&gt;=4,MONTH(C141)&lt;=6),2,IF(AND(MONTH(C141)&gt;=7,MONTH(C141)&lt;=9),3,4))))</f>
        <v>2</v>
      </c>
      <c r="D142" s="44"/>
      <c r="E142" s="29" t="s">
        <v>36</v>
      </c>
      <c r="F142" s="30"/>
    </row>
    <row r="143" spans="1:10" ht="14.1" customHeight="1" thickBot="1" x14ac:dyDescent="0.3">
      <c r="A143" s="44"/>
      <c r="B143" s="27" t="s">
        <v>37</v>
      </c>
      <c r="C143" s="28">
        <v>44742</v>
      </c>
      <c r="D143" s="44"/>
      <c r="E143" s="29" t="s">
        <v>38</v>
      </c>
      <c r="F143" s="30"/>
    </row>
    <row r="144" spans="1:10" ht="14.1" customHeight="1" thickBot="1" x14ac:dyDescent="0.3">
      <c r="A144" s="44"/>
      <c r="B144" s="27" t="s">
        <v>35</v>
      </c>
      <c r="C144" s="31">
        <f>IF(C143="","",IF(AND(MONTH(C143)&gt;=1,MONTH(C143)&lt;=3),1,IF(AND(MONTH(C143)&gt;=4,MONTH(C143)&lt;=6),2,IF(AND(MONTH(C143)&gt;=7,MONTH(C143)&lt;=9),3,4))))</f>
        <v>2</v>
      </c>
      <c r="D144" s="44"/>
      <c r="E144" s="29" t="s">
        <v>39</v>
      </c>
      <c r="F144" s="30"/>
    </row>
    <row r="145" spans="1:10" ht="14.1" customHeight="1" x14ac:dyDescent="0.25"/>
    <row r="146" spans="1:10" ht="14.1" customHeight="1" thickBot="1" x14ac:dyDescent="0.3">
      <c r="A146" s="32" t="s">
        <v>40</v>
      </c>
      <c r="B146" s="32" t="s">
        <v>41</v>
      </c>
      <c r="C146" s="32" t="s">
        <v>42</v>
      </c>
      <c r="D146" s="32" t="s">
        <v>43</v>
      </c>
      <c r="E146" s="32" t="s">
        <v>44</v>
      </c>
      <c r="F146" s="32" t="s">
        <v>45</v>
      </c>
    </row>
    <row r="147" spans="1:10" ht="14.1" customHeight="1" x14ac:dyDescent="0.25">
      <c r="A147" s="33" t="s">
        <v>67</v>
      </c>
      <c r="B147" s="34" t="str">
        <f ca="1">IFERROR(INDEX(UNSPSCDes,MATCH(INDIRECT(ADDRESS(ROW(),COLUMN()-1,4)),UNSPSCCode,0)),IF(INDIRECT(ADDRESS(ROW(),COLUMN()-1,4))="26111703","Baterías para vehículos",""))</f>
        <v>Baterías para vehículos</v>
      </c>
      <c r="C147" s="35" t="str">
        <f>IFERROR(VLOOKUP("UD",'[1]Informacion '!P:Q,2,FALSE),"")</f>
        <v>Unidad</v>
      </c>
      <c r="D147" s="33">
        <v>2</v>
      </c>
      <c r="E147" s="36">
        <v>9000</v>
      </c>
      <c r="F147" s="37">
        <f ca="1">INDIRECT(ADDRESS(ROW(),COLUMN()-2,4))*INDIRECT(ADDRESS(ROW(),COLUMN()-1,4))</f>
        <v>18000</v>
      </c>
    </row>
    <row r="148" spans="1:10" ht="14.1" customHeight="1" x14ac:dyDescent="0.25">
      <c r="A148" s="33" t="s">
        <v>68</v>
      </c>
      <c r="B148" s="34" t="str">
        <f ca="1">IFERROR(INDEX(UNSPSCDes,MATCH(INDIRECT(ADDRESS(ROW(),COLUMN()-1,4)),UNSPSCCode,0)),IF(INDIRECT(ADDRESS(ROW(),COLUMN()-1,4))="25172502"," Cámara de neumático de automóvil",""))</f>
        <v xml:space="preserve"> Cámara de neumático de automóvil</v>
      </c>
      <c r="C148" s="35" t="str">
        <f>IFERROR(VLOOKUP("UD",'[1]Informacion '!P:Q,2,FALSE),"")</f>
        <v>Unidad</v>
      </c>
      <c r="D148" s="33">
        <v>8</v>
      </c>
      <c r="E148" s="36">
        <v>10000</v>
      </c>
      <c r="F148" s="37">
        <f ca="1">INDIRECT(ADDRESS(ROW(),COLUMN()-2,4))*INDIRECT(ADDRESS(ROW(),COLUMN()-1,4))</f>
        <v>80000</v>
      </c>
    </row>
    <row r="149" spans="1:10" ht="14.1" customHeight="1" x14ac:dyDescent="0.25">
      <c r="E149" s="38" t="s">
        <v>48</v>
      </c>
      <c r="F149" s="39">
        <f ca="1">SUM(Table14[MONTO TOTAL ESTIMADO])</f>
        <v>98000</v>
      </c>
      <c r="H149" s="25" t="str">
        <f>C140</f>
        <v>Bienes</v>
      </c>
      <c r="I149" s="25" t="str">
        <f>E140</f>
        <v>No</v>
      </c>
      <c r="J149" s="25" t="str">
        <f>D140</f>
        <v>Compras por debajo del Umbral</v>
      </c>
    </row>
    <row r="150" spans="1:10" ht="14.1" customHeight="1" x14ac:dyDescent="0.25"/>
    <row r="151" spans="1:10" ht="34.15" customHeight="1" thickBot="1" x14ac:dyDescent="0.3">
      <c r="A151" s="24" t="s">
        <v>19</v>
      </c>
      <c r="B151" s="24" t="s">
        <v>20</v>
      </c>
      <c r="C151" s="24" t="s">
        <v>21</v>
      </c>
      <c r="D151" s="24" t="s">
        <v>22</v>
      </c>
      <c r="E151" s="24" t="s">
        <v>23</v>
      </c>
      <c r="F151" s="24" t="s">
        <v>24</v>
      </c>
    </row>
    <row r="152" spans="1:10" ht="14.1" customHeight="1" thickBot="1" x14ac:dyDescent="0.3">
      <c r="A152" s="26" t="s">
        <v>66</v>
      </c>
      <c r="B152" s="26" t="s">
        <v>66</v>
      </c>
      <c r="C152" s="26" t="s">
        <v>27</v>
      </c>
      <c r="D152" s="26" t="s">
        <v>53</v>
      </c>
      <c r="E152" s="26" t="s">
        <v>29</v>
      </c>
      <c r="F152" s="26"/>
    </row>
    <row r="153" spans="1:10" ht="14.1" customHeight="1" thickBot="1" x14ac:dyDescent="0.3">
      <c r="A153" s="43" t="s">
        <v>30</v>
      </c>
      <c r="B153" s="27" t="s">
        <v>31</v>
      </c>
      <c r="C153" s="28">
        <v>44743</v>
      </c>
      <c r="D153" s="43" t="s">
        <v>32</v>
      </c>
      <c r="E153" s="29" t="s">
        <v>33</v>
      </c>
      <c r="F153" s="30" t="s">
        <v>34</v>
      </c>
    </row>
    <row r="154" spans="1:10" ht="14.1" customHeight="1" thickBot="1" x14ac:dyDescent="0.3">
      <c r="A154" s="44"/>
      <c r="B154" s="27" t="s">
        <v>35</v>
      </c>
      <c r="C154" s="31">
        <f>IF(C153="","",IF(AND(MONTH(C153)&gt;=1,MONTH(C153)&lt;=3),1,IF(AND(MONTH(C153)&gt;=4,MONTH(C153)&lt;=6),2,IF(AND(MONTH(C153)&gt;=7,MONTH(C153)&lt;=9),3,4))))</f>
        <v>3</v>
      </c>
      <c r="D154" s="44"/>
      <c r="E154" s="29" t="s">
        <v>36</v>
      </c>
      <c r="F154" s="30"/>
    </row>
    <row r="155" spans="1:10" ht="14.1" customHeight="1" thickBot="1" x14ac:dyDescent="0.3">
      <c r="A155" s="44"/>
      <c r="B155" s="27" t="s">
        <v>37</v>
      </c>
      <c r="C155" s="28">
        <v>44834</v>
      </c>
      <c r="D155" s="44"/>
      <c r="E155" s="29" t="s">
        <v>38</v>
      </c>
      <c r="F155" s="30"/>
    </row>
    <row r="156" spans="1:10" ht="14.1" customHeight="1" thickBot="1" x14ac:dyDescent="0.3">
      <c r="A156" s="44"/>
      <c r="B156" s="27" t="s">
        <v>35</v>
      </c>
      <c r="C156" s="31">
        <f>IF(C155="","",IF(AND(MONTH(C155)&gt;=1,MONTH(C155)&lt;=3),1,IF(AND(MONTH(C155)&gt;=4,MONTH(C155)&lt;=6),2,IF(AND(MONTH(C155)&gt;=7,MONTH(C155)&lt;=9),3,4))))</f>
        <v>3</v>
      </c>
      <c r="D156" s="44"/>
      <c r="E156" s="29" t="s">
        <v>39</v>
      </c>
      <c r="F156" s="30"/>
    </row>
    <row r="157" spans="1:10" ht="14.1" customHeight="1" x14ac:dyDescent="0.25"/>
    <row r="158" spans="1:10" ht="14.1" customHeight="1" thickBot="1" x14ac:dyDescent="0.3">
      <c r="A158" s="32" t="s">
        <v>40</v>
      </c>
      <c r="B158" s="32" t="s">
        <v>41</v>
      </c>
      <c r="C158" s="32" t="s">
        <v>42</v>
      </c>
      <c r="D158" s="32" t="s">
        <v>43</v>
      </c>
      <c r="E158" s="32" t="s">
        <v>44</v>
      </c>
      <c r="F158" s="32" t="s">
        <v>45</v>
      </c>
    </row>
    <row r="159" spans="1:10" ht="14.1" customHeight="1" x14ac:dyDescent="0.25">
      <c r="A159" s="33" t="s">
        <v>67</v>
      </c>
      <c r="B159" s="34" t="str">
        <f ca="1">IFERROR(INDEX(UNSPSCDes,MATCH(INDIRECT(ADDRESS(ROW(),COLUMN()-1,4)),UNSPSCCode,0)),IF(INDIRECT(ADDRESS(ROW(),COLUMN()-1,4))="26111703","Baterías para vehículos",""))</f>
        <v>Baterías para vehículos</v>
      </c>
      <c r="C159" s="35" t="str">
        <f>IFERROR(VLOOKUP("UD",'[1]Informacion '!P:Q,2,FALSE),"")</f>
        <v>Unidad</v>
      </c>
      <c r="D159" s="33">
        <v>2</v>
      </c>
      <c r="E159" s="36">
        <v>9000</v>
      </c>
      <c r="F159" s="37">
        <f ca="1">INDIRECT(ADDRESS(ROW(),COLUMN()-2,4))*INDIRECT(ADDRESS(ROW(),COLUMN()-1,4))</f>
        <v>18000</v>
      </c>
    </row>
    <row r="160" spans="1:10" ht="14.1" customHeight="1" x14ac:dyDescent="0.25">
      <c r="A160" s="33" t="s">
        <v>68</v>
      </c>
      <c r="B160" s="34" t="str">
        <f ca="1">IFERROR(INDEX(UNSPSCDes,MATCH(INDIRECT(ADDRESS(ROW(),COLUMN()-1,4)),UNSPSCCode,0)),IF(INDIRECT(ADDRESS(ROW(),COLUMN()-1,4))="25172502"," Cámara de neumático de automóvil",""))</f>
        <v xml:space="preserve"> Cámara de neumático de automóvil</v>
      </c>
      <c r="C160" s="35" t="str">
        <f>IFERROR(VLOOKUP("UD",'[1]Informacion '!P:Q,2,FALSE),"")</f>
        <v>Unidad</v>
      </c>
      <c r="D160" s="33">
        <v>8</v>
      </c>
      <c r="E160" s="36">
        <v>10000</v>
      </c>
      <c r="F160" s="37">
        <f ca="1">INDIRECT(ADDRESS(ROW(),COLUMN()-2,4))*INDIRECT(ADDRESS(ROW(),COLUMN()-1,4))</f>
        <v>80000</v>
      </c>
    </row>
    <row r="161" spans="1:10" ht="14.1" customHeight="1" x14ac:dyDescent="0.25">
      <c r="E161" s="38" t="s">
        <v>48</v>
      </c>
      <c r="F161" s="39">
        <f ca="1">SUM(Table15[MONTO TOTAL ESTIMADO])</f>
        <v>98000</v>
      </c>
      <c r="H161" s="25" t="str">
        <f>C152</f>
        <v>Bienes</v>
      </c>
      <c r="I161" s="25" t="str">
        <f>E152</f>
        <v>No</v>
      </c>
      <c r="J161" s="25" t="str">
        <f>D152</f>
        <v>Compras por debajo del Umbral</v>
      </c>
    </row>
    <row r="162" spans="1:10" ht="14.1" customHeight="1" x14ac:dyDescent="0.25"/>
    <row r="163" spans="1:10" ht="34.15" customHeight="1" thickBot="1" x14ac:dyDescent="0.3">
      <c r="A163" s="24" t="s">
        <v>19</v>
      </c>
      <c r="B163" s="24" t="s">
        <v>20</v>
      </c>
      <c r="C163" s="24" t="s">
        <v>21</v>
      </c>
      <c r="D163" s="24" t="s">
        <v>22</v>
      </c>
      <c r="E163" s="24" t="s">
        <v>23</v>
      </c>
      <c r="F163" s="24" t="s">
        <v>24</v>
      </c>
    </row>
    <row r="164" spans="1:10" ht="14.1" customHeight="1" thickBot="1" x14ac:dyDescent="0.3">
      <c r="A164" s="26" t="s">
        <v>66</v>
      </c>
      <c r="B164" s="26" t="s">
        <v>66</v>
      </c>
      <c r="C164" s="26" t="s">
        <v>27</v>
      </c>
      <c r="D164" s="26" t="s">
        <v>53</v>
      </c>
      <c r="E164" s="26" t="s">
        <v>29</v>
      </c>
      <c r="F164" s="26"/>
    </row>
    <row r="165" spans="1:10" ht="14.1" customHeight="1" thickBot="1" x14ac:dyDescent="0.3">
      <c r="A165" s="43" t="s">
        <v>30</v>
      </c>
      <c r="B165" s="27" t="s">
        <v>31</v>
      </c>
      <c r="C165" s="28">
        <v>44835</v>
      </c>
      <c r="D165" s="43" t="s">
        <v>32</v>
      </c>
      <c r="E165" s="29" t="s">
        <v>33</v>
      </c>
      <c r="F165" s="30" t="s">
        <v>34</v>
      </c>
    </row>
    <row r="166" spans="1:10" ht="14.1" customHeight="1" thickBot="1" x14ac:dyDescent="0.3">
      <c r="A166" s="44"/>
      <c r="B166" s="27" t="s">
        <v>35</v>
      </c>
      <c r="C166" s="31">
        <f>IF(C165="","",IF(AND(MONTH(C165)&gt;=1,MONTH(C165)&lt;=3),1,IF(AND(MONTH(C165)&gt;=4,MONTH(C165)&lt;=6),2,IF(AND(MONTH(C165)&gt;=7,MONTH(C165)&lt;=9),3,4))))</f>
        <v>4</v>
      </c>
      <c r="D166" s="44"/>
      <c r="E166" s="29" t="s">
        <v>36</v>
      </c>
      <c r="F166" s="30"/>
    </row>
    <row r="167" spans="1:10" ht="14.1" customHeight="1" thickBot="1" x14ac:dyDescent="0.3">
      <c r="A167" s="44"/>
      <c r="B167" s="27" t="s">
        <v>37</v>
      </c>
      <c r="C167" s="28">
        <v>44926</v>
      </c>
      <c r="D167" s="44"/>
      <c r="E167" s="29" t="s">
        <v>38</v>
      </c>
      <c r="F167" s="30"/>
    </row>
    <row r="168" spans="1:10" ht="14.1" customHeight="1" thickBot="1" x14ac:dyDescent="0.3">
      <c r="A168" s="44"/>
      <c r="B168" s="27" t="s">
        <v>35</v>
      </c>
      <c r="C168" s="31">
        <f>IF(C167="","",IF(AND(MONTH(C167)&gt;=1,MONTH(C167)&lt;=3),1,IF(AND(MONTH(C167)&gt;=4,MONTH(C167)&lt;=6),2,IF(AND(MONTH(C167)&gt;=7,MONTH(C167)&lt;=9),3,4))))</f>
        <v>4</v>
      </c>
      <c r="D168" s="44"/>
      <c r="E168" s="29" t="s">
        <v>39</v>
      </c>
      <c r="F168" s="30"/>
    </row>
    <row r="169" spans="1:10" ht="14.1" customHeight="1" x14ac:dyDescent="0.25"/>
    <row r="170" spans="1:10" ht="14.1" customHeight="1" thickBot="1" x14ac:dyDescent="0.3">
      <c r="A170" s="32" t="s">
        <v>40</v>
      </c>
      <c r="B170" s="32" t="s">
        <v>41</v>
      </c>
      <c r="C170" s="32" t="s">
        <v>42</v>
      </c>
      <c r="D170" s="32" t="s">
        <v>43</v>
      </c>
      <c r="E170" s="32" t="s">
        <v>44</v>
      </c>
      <c r="F170" s="32" t="s">
        <v>45</v>
      </c>
    </row>
    <row r="171" spans="1:10" ht="14.1" customHeight="1" x14ac:dyDescent="0.25">
      <c r="A171" s="33" t="s">
        <v>67</v>
      </c>
      <c r="B171" s="34" t="str">
        <f ca="1">IFERROR(INDEX(UNSPSCDes,MATCH(INDIRECT(ADDRESS(ROW(),COLUMN()-1,4)),UNSPSCCode,0)),IF(INDIRECT(ADDRESS(ROW(),COLUMN()-1,4))="26111703","Baterías para vehículos",""))</f>
        <v>Baterías para vehículos</v>
      </c>
      <c r="C171" s="35" t="str">
        <f>IFERROR(VLOOKUP("UD",'[1]Informacion '!P:Q,2,FALSE),"")</f>
        <v>Unidad</v>
      </c>
      <c r="D171" s="33">
        <v>2</v>
      </c>
      <c r="E171" s="36">
        <v>9000</v>
      </c>
      <c r="F171" s="37">
        <f ca="1">INDIRECT(ADDRESS(ROW(),COLUMN()-2,4))*INDIRECT(ADDRESS(ROW(),COLUMN()-1,4))</f>
        <v>18000</v>
      </c>
    </row>
    <row r="172" spans="1:10" ht="14.1" customHeight="1" x14ac:dyDescent="0.25">
      <c r="A172" s="33" t="s">
        <v>68</v>
      </c>
      <c r="B172" s="34" t="str">
        <f ca="1">IFERROR(INDEX(UNSPSCDes,MATCH(INDIRECT(ADDRESS(ROW(),COLUMN()-1,4)),UNSPSCCode,0)),IF(INDIRECT(ADDRESS(ROW(),COLUMN()-1,4))="25172502"," Cámara de neumático de automóvil",""))</f>
        <v xml:space="preserve"> Cámara de neumático de automóvil</v>
      </c>
      <c r="C172" s="35" t="str">
        <f>IFERROR(VLOOKUP("UD",'[1]Informacion '!P:Q,2,FALSE),"")</f>
        <v>Unidad</v>
      </c>
      <c r="D172" s="33">
        <v>8</v>
      </c>
      <c r="E172" s="36">
        <v>10000</v>
      </c>
      <c r="F172" s="37">
        <f ca="1">INDIRECT(ADDRESS(ROW(),COLUMN()-2,4))*INDIRECT(ADDRESS(ROW(),COLUMN()-1,4))</f>
        <v>80000</v>
      </c>
    </row>
    <row r="173" spans="1:10" ht="14.1" customHeight="1" x14ac:dyDescent="0.25">
      <c r="E173" s="38" t="s">
        <v>48</v>
      </c>
      <c r="F173" s="39">
        <f ca="1">SUM(Table16[MONTO TOTAL ESTIMADO])</f>
        <v>98000</v>
      </c>
      <c r="H173" s="25" t="str">
        <f>C164</f>
        <v>Bienes</v>
      </c>
      <c r="I173" s="25" t="str">
        <f>E164</f>
        <v>No</v>
      </c>
      <c r="J173" s="25" t="str">
        <f>D164</f>
        <v>Compras por debajo del Umbral</v>
      </c>
    </row>
    <row r="174" spans="1:10" ht="14.1" customHeight="1" x14ac:dyDescent="0.25"/>
    <row r="175" spans="1:10" ht="34.15" customHeight="1" thickBot="1" x14ac:dyDescent="0.3">
      <c r="A175" s="24" t="s">
        <v>19</v>
      </c>
      <c r="B175" s="24" t="s">
        <v>20</v>
      </c>
      <c r="C175" s="24" t="s">
        <v>21</v>
      </c>
      <c r="D175" s="24" t="s">
        <v>22</v>
      </c>
      <c r="E175" s="24" t="s">
        <v>23</v>
      </c>
      <c r="F175" s="24" t="s">
        <v>24</v>
      </c>
    </row>
    <row r="176" spans="1:10" ht="14.1" customHeight="1" thickBot="1" x14ac:dyDescent="0.3">
      <c r="A176" s="26" t="s">
        <v>69</v>
      </c>
      <c r="B176" s="26" t="s">
        <v>69</v>
      </c>
      <c r="C176" s="26" t="s">
        <v>64</v>
      </c>
      <c r="D176" s="26" t="s">
        <v>28</v>
      </c>
      <c r="E176" s="26" t="s">
        <v>54</v>
      </c>
      <c r="F176" s="26"/>
    </row>
    <row r="177" spans="1:10" ht="14.1" customHeight="1" thickBot="1" x14ac:dyDescent="0.3">
      <c r="A177" s="43" t="s">
        <v>30</v>
      </c>
      <c r="B177" s="27" t="s">
        <v>31</v>
      </c>
      <c r="C177" s="28">
        <v>44652</v>
      </c>
      <c r="D177" s="43" t="s">
        <v>32</v>
      </c>
      <c r="E177" s="29" t="s">
        <v>33</v>
      </c>
      <c r="F177" s="30" t="s">
        <v>34</v>
      </c>
    </row>
    <row r="178" spans="1:10" ht="14.1" customHeight="1" thickBot="1" x14ac:dyDescent="0.3">
      <c r="A178" s="44"/>
      <c r="B178" s="27" t="s">
        <v>35</v>
      </c>
      <c r="C178" s="31">
        <f>IF(C177="","",IF(AND(MONTH(C177)&gt;=1,MONTH(C177)&lt;=3),1,IF(AND(MONTH(C177)&gt;=4,MONTH(C177)&lt;=6),2,IF(AND(MONTH(C177)&gt;=7,MONTH(C177)&lt;=9),3,4))))</f>
        <v>2</v>
      </c>
      <c r="D178" s="44"/>
      <c r="E178" s="29" t="s">
        <v>36</v>
      </c>
      <c r="F178" s="30"/>
    </row>
    <row r="179" spans="1:10" ht="14.1" customHeight="1" thickBot="1" x14ac:dyDescent="0.3">
      <c r="A179" s="44"/>
      <c r="B179" s="27" t="s">
        <v>37</v>
      </c>
      <c r="C179" s="28">
        <v>44742</v>
      </c>
      <c r="D179" s="44"/>
      <c r="E179" s="29" t="s">
        <v>38</v>
      </c>
      <c r="F179" s="30"/>
    </row>
    <row r="180" spans="1:10" ht="14.1" customHeight="1" thickBot="1" x14ac:dyDescent="0.3">
      <c r="A180" s="44"/>
      <c r="B180" s="27" t="s">
        <v>35</v>
      </c>
      <c r="C180" s="31">
        <f>IF(C179="","",IF(AND(MONTH(C179)&gt;=1,MONTH(C179)&lt;=3),1,IF(AND(MONTH(C179)&gt;=4,MONTH(C179)&lt;=6),2,IF(AND(MONTH(C179)&gt;=7,MONTH(C179)&lt;=9),3,4))))</f>
        <v>2</v>
      </c>
      <c r="D180" s="44"/>
      <c r="E180" s="29" t="s">
        <v>39</v>
      </c>
      <c r="F180" s="30"/>
    </row>
    <row r="181" spans="1:10" ht="14.1" customHeight="1" x14ac:dyDescent="0.25"/>
    <row r="182" spans="1:10" ht="14.1" customHeight="1" thickBot="1" x14ac:dyDescent="0.3">
      <c r="A182" s="32" t="s">
        <v>40</v>
      </c>
      <c r="B182" s="32" t="s">
        <v>41</v>
      </c>
      <c r="C182" s="32" t="s">
        <v>42</v>
      </c>
      <c r="D182" s="32" t="s">
        <v>43</v>
      </c>
      <c r="E182" s="32" t="s">
        <v>44</v>
      </c>
      <c r="F182" s="32" t="s">
        <v>45</v>
      </c>
    </row>
    <row r="183" spans="1:10" ht="14.1" customHeight="1" x14ac:dyDescent="0.25">
      <c r="A183" s="33" t="s">
        <v>70</v>
      </c>
      <c r="B183" s="34" t="str">
        <f ca="1">IFERROR(INDEX(UNSPSCDes,MATCH(INDIRECT(ADDRESS(ROW(),COLUMN()-1,4)),UNSPSCCode,0)),IF(INDIRECT(ADDRESS(ROW(),COLUMN()-1,4))="25173813","Transmisiones automáticas",""))</f>
        <v>Transmisiones automáticas</v>
      </c>
      <c r="C183" s="35" t="str">
        <f>IFERROR(VLOOKUP("UD",'[1]Informacion '!P:Q,2,FALSE),"")</f>
        <v>Unidad</v>
      </c>
      <c r="D183" s="33">
        <v>1</v>
      </c>
      <c r="E183" s="36">
        <v>200000</v>
      </c>
      <c r="F183" s="37">
        <f ca="1">INDIRECT(ADDRESS(ROW(),COLUMN()-2,4))*INDIRECT(ADDRESS(ROW(),COLUMN()-1,4))</f>
        <v>200000</v>
      </c>
    </row>
    <row r="184" spans="1:10" ht="14.1" customHeight="1" x14ac:dyDescent="0.25">
      <c r="E184" s="38" t="s">
        <v>48</v>
      </c>
      <c r="F184" s="39">
        <f ca="1">SUM(Table17[MONTO TOTAL ESTIMADO])</f>
        <v>200000</v>
      </c>
      <c r="H184" s="25" t="str">
        <f>C176</f>
        <v>Servicios</v>
      </c>
      <c r="I184" s="25" t="str">
        <f>E176</f>
        <v>Sí</v>
      </c>
      <c r="J184" s="25" t="str">
        <f>D176</f>
        <v>Compras Menores</v>
      </c>
    </row>
    <row r="185" spans="1:10" ht="14.1" customHeight="1" x14ac:dyDescent="0.25"/>
    <row r="186" spans="1:10" ht="34.15" customHeight="1" thickBot="1" x14ac:dyDescent="0.3">
      <c r="A186" s="24" t="s">
        <v>19</v>
      </c>
      <c r="B186" s="24" t="s">
        <v>20</v>
      </c>
      <c r="C186" s="24" t="s">
        <v>21</v>
      </c>
      <c r="D186" s="24" t="s">
        <v>22</v>
      </c>
      <c r="E186" s="24" t="s">
        <v>23</v>
      </c>
      <c r="F186" s="24" t="s">
        <v>24</v>
      </c>
    </row>
    <row r="187" spans="1:10" ht="14.1" customHeight="1" thickBot="1" x14ac:dyDescent="0.3">
      <c r="A187" s="26" t="s">
        <v>71</v>
      </c>
      <c r="B187" s="26" t="s">
        <v>71</v>
      </c>
      <c r="C187" s="26" t="s">
        <v>27</v>
      </c>
      <c r="D187" s="26" t="s">
        <v>28</v>
      </c>
      <c r="E187" s="26" t="s">
        <v>29</v>
      </c>
      <c r="F187" s="26"/>
    </row>
    <row r="188" spans="1:10" ht="14.1" customHeight="1" thickBot="1" x14ac:dyDescent="0.3">
      <c r="A188" s="43" t="s">
        <v>30</v>
      </c>
      <c r="B188" s="27" t="s">
        <v>31</v>
      </c>
      <c r="C188" s="28">
        <v>44652</v>
      </c>
      <c r="D188" s="43" t="s">
        <v>32</v>
      </c>
      <c r="E188" s="29" t="s">
        <v>33</v>
      </c>
      <c r="F188" s="30" t="s">
        <v>34</v>
      </c>
    </row>
    <row r="189" spans="1:10" ht="14.1" customHeight="1" thickBot="1" x14ac:dyDescent="0.3">
      <c r="A189" s="44"/>
      <c r="B189" s="27" t="s">
        <v>35</v>
      </c>
      <c r="C189" s="31">
        <f>IF(C188="","",IF(AND(MONTH(C188)&gt;=1,MONTH(C188)&lt;=3),1,IF(AND(MONTH(C188)&gt;=4,MONTH(C188)&lt;=6),2,IF(AND(MONTH(C188)&gt;=7,MONTH(C188)&lt;=9),3,4))))</f>
        <v>2</v>
      </c>
      <c r="D189" s="44"/>
      <c r="E189" s="29" t="s">
        <v>36</v>
      </c>
      <c r="F189" s="30"/>
    </row>
    <row r="190" spans="1:10" ht="14.1" customHeight="1" thickBot="1" x14ac:dyDescent="0.3">
      <c r="A190" s="44"/>
      <c r="B190" s="27" t="s">
        <v>37</v>
      </c>
      <c r="C190" s="28">
        <v>44742</v>
      </c>
      <c r="D190" s="44"/>
      <c r="E190" s="29" t="s">
        <v>38</v>
      </c>
      <c r="F190" s="30"/>
    </row>
    <row r="191" spans="1:10" ht="14.1" customHeight="1" thickBot="1" x14ac:dyDescent="0.3">
      <c r="A191" s="44"/>
      <c r="B191" s="27" t="s">
        <v>35</v>
      </c>
      <c r="C191" s="31">
        <f>IF(C190="","",IF(AND(MONTH(C190)&gt;=1,MONTH(C190)&lt;=3),1,IF(AND(MONTH(C190)&gt;=4,MONTH(C190)&lt;=6),2,IF(AND(MONTH(C190)&gt;=7,MONTH(C190)&lt;=9),3,4))))</f>
        <v>2</v>
      </c>
      <c r="D191" s="44"/>
      <c r="E191" s="29" t="s">
        <v>39</v>
      </c>
      <c r="F191" s="30"/>
    </row>
    <row r="192" spans="1:10" ht="14.1" customHeight="1" x14ac:dyDescent="0.25"/>
    <row r="193" spans="1:10" ht="14.1" customHeight="1" thickBot="1" x14ac:dyDescent="0.3">
      <c r="A193" s="32" t="s">
        <v>40</v>
      </c>
      <c r="B193" s="32" t="s">
        <v>41</v>
      </c>
      <c r="C193" s="32" t="s">
        <v>42</v>
      </c>
      <c r="D193" s="32" t="s">
        <v>43</v>
      </c>
      <c r="E193" s="32" t="s">
        <v>44</v>
      </c>
      <c r="F193" s="32" t="s">
        <v>45</v>
      </c>
    </row>
    <row r="194" spans="1:10" ht="14.1" customHeight="1" x14ac:dyDescent="0.25">
      <c r="A194" s="33" t="s">
        <v>72</v>
      </c>
      <c r="B194" s="34" t="str">
        <f ca="1">IFERROR(INDEX(UNSPSCDes,MATCH(INDIRECT(ADDRESS(ROW(),COLUMN()-1,4)),UNSPSCCode,0)),IF(INDIRECT(ADDRESS(ROW(),COLUMN()-1,4))="25101503","Carros",""))</f>
        <v>Carros</v>
      </c>
      <c r="C194" s="35" t="str">
        <f>IFERROR(VLOOKUP("UD",'[1]Informacion '!P:Q,2,FALSE),"")</f>
        <v>Unidad</v>
      </c>
      <c r="D194" s="33">
        <v>2</v>
      </c>
      <c r="E194" s="36">
        <v>1000000</v>
      </c>
      <c r="F194" s="37">
        <f ca="1">INDIRECT(ADDRESS(ROW(),COLUMN()-2,4))*INDIRECT(ADDRESS(ROW(),COLUMN()-1,4))</f>
        <v>2000000</v>
      </c>
    </row>
    <row r="195" spans="1:10" ht="14.1" customHeight="1" x14ac:dyDescent="0.25">
      <c r="E195" s="38" t="s">
        <v>48</v>
      </c>
      <c r="F195" s="39">
        <f ca="1">SUM(Table18[MONTO TOTAL ESTIMADO])</f>
        <v>2000000</v>
      </c>
      <c r="H195" s="25" t="str">
        <f>C187</f>
        <v>Bienes</v>
      </c>
      <c r="I195" s="25" t="str">
        <f>E187</f>
        <v>No</v>
      </c>
      <c r="J195" s="25" t="str">
        <f>D187</f>
        <v>Compras Menores</v>
      </c>
    </row>
    <row r="196" spans="1:10" ht="14.1" customHeight="1" x14ac:dyDescent="0.25"/>
    <row r="197" spans="1:10" ht="34.15" customHeight="1" thickBot="1" x14ac:dyDescent="0.3">
      <c r="A197" s="24" t="s">
        <v>19</v>
      </c>
      <c r="B197" s="24" t="s">
        <v>20</v>
      </c>
      <c r="C197" s="24" t="s">
        <v>21</v>
      </c>
      <c r="D197" s="24" t="s">
        <v>22</v>
      </c>
      <c r="E197" s="24" t="s">
        <v>23</v>
      </c>
      <c r="F197" s="24" t="s">
        <v>24</v>
      </c>
    </row>
    <row r="198" spans="1:10" ht="14.1" customHeight="1" thickBot="1" x14ac:dyDescent="0.3">
      <c r="A198" s="26" t="s">
        <v>73</v>
      </c>
      <c r="B198" s="26" t="s">
        <v>73</v>
      </c>
      <c r="C198" s="26" t="s">
        <v>27</v>
      </c>
      <c r="D198" s="26" t="s">
        <v>28</v>
      </c>
      <c r="E198" s="26" t="s">
        <v>54</v>
      </c>
      <c r="F198" s="26"/>
    </row>
    <row r="199" spans="1:10" ht="14.1" customHeight="1" thickBot="1" x14ac:dyDescent="0.3">
      <c r="A199" s="43" t="s">
        <v>30</v>
      </c>
      <c r="B199" s="27" t="s">
        <v>31</v>
      </c>
      <c r="C199" s="28">
        <v>44576</v>
      </c>
      <c r="D199" s="43" t="s">
        <v>32</v>
      </c>
      <c r="E199" s="29" t="s">
        <v>33</v>
      </c>
      <c r="F199" s="30" t="s">
        <v>34</v>
      </c>
    </row>
    <row r="200" spans="1:10" ht="14.1" customHeight="1" thickBot="1" x14ac:dyDescent="0.3">
      <c r="A200" s="44"/>
      <c r="B200" s="27" t="s">
        <v>35</v>
      </c>
      <c r="C200" s="31">
        <f>IF(C199="","",IF(AND(MONTH(C199)&gt;=1,MONTH(C199)&lt;=3),1,IF(AND(MONTH(C199)&gt;=4,MONTH(C199)&lt;=6),2,IF(AND(MONTH(C199)&gt;=7,MONTH(C199)&lt;=9),3,4))))</f>
        <v>1</v>
      </c>
      <c r="D200" s="44"/>
      <c r="E200" s="29" t="s">
        <v>36</v>
      </c>
      <c r="F200" s="30"/>
    </row>
    <row r="201" spans="1:10" ht="14.1" customHeight="1" thickBot="1" x14ac:dyDescent="0.3">
      <c r="A201" s="44"/>
      <c r="B201" s="27" t="s">
        <v>37</v>
      </c>
      <c r="C201" s="28">
        <v>44651</v>
      </c>
      <c r="D201" s="44"/>
      <c r="E201" s="29" t="s">
        <v>38</v>
      </c>
      <c r="F201" s="30"/>
    </row>
    <row r="202" spans="1:10" ht="14.1" customHeight="1" thickBot="1" x14ac:dyDescent="0.3">
      <c r="A202" s="44"/>
      <c r="B202" s="27" t="s">
        <v>35</v>
      </c>
      <c r="C202" s="31">
        <f>IF(C201="","",IF(AND(MONTH(C201)&gt;=1,MONTH(C201)&lt;=3),1,IF(AND(MONTH(C201)&gt;=4,MONTH(C201)&lt;=6),2,IF(AND(MONTH(C201)&gt;=7,MONTH(C201)&lt;=9),3,4))))</f>
        <v>1</v>
      </c>
      <c r="D202" s="44"/>
      <c r="E202" s="29" t="s">
        <v>39</v>
      </c>
      <c r="F202" s="30"/>
    </row>
    <row r="203" spans="1:10" ht="14.1" customHeight="1" x14ac:dyDescent="0.25"/>
    <row r="204" spans="1:10" ht="14.1" customHeight="1" thickBot="1" x14ac:dyDescent="0.3">
      <c r="A204" s="32" t="s">
        <v>40</v>
      </c>
      <c r="B204" s="32" t="s">
        <v>41</v>
      </c>
      <c r="C204" s="32" t="s">
        <v>42</v>
      </c>
      <c r="D204" s="32" t="s">
        <v>43</v>
      </c>
      <c r="E204" s="32" t="s">
        <v>44</v>
      </c>
      <c r="F204" s="32" t="s">
        <v>45</v>
      </c>
    </row>
    <row r="205" spans="1:10" ht="14.1" customHeight="1" x14ac:dyDescent="0.25">
      <c r="A205" s="33" t="s">
        <v>74</v>
      </c>
      <c r="B205" s="34" t="str">
        <f ca="1">IFERROR(INDEX(UNSPSCDes,MATCH(INDIRECT(ADDRESS(ROW(),COLUMN()-1,4)),UNSPSCCode,0)),IF(INDIRECT(ADDRESS(ROW(),COLUMN()-1,4))="26111701","Baterías recargables",""))</f>
        <v>Baterías recargables</v>
      </c>
      <c r="C205" s="35" t="str">
        <f>IFERROR(VLOOKUP("UD",'[1]Informacion '!P:Q,2,FALSE),"")</f>
        <v>Unidad</v>
      </c>
      <c r="D205" s="33">
        <v>10</v>
      </c>
      <c r="E205" s="36">
        <v>17000</v>
      </c>
      <c r="F205" s="37">
        <f ca="1">INDIRECT(ADDRESS(ROW(),COLUMN()-2,4))*INDIRECT(ADDRESS(ROW(),COLUMN()-1,4))</f>
        <v>170000</v>
      </c>
    </row>
    <row r="206" spans="1:10" ht="14.1" customHeight="1" x14ac:dyDescent="0.25">
      <c r="E206" s="38" t="s">
        <v>48</v>
      </c>
      <c r="F206" s="39">
        <f ca="1">SUM(Table19[MONTO TOTAL ESTIMADO])</f>
        <v>170000</v>
      </c>
      <c r="H206" s="25" t="str">
        <f>C198</f>
        <v>Bienes</v>
      </c>
      <c r="I206" s="25" t="str">
        <f>E198</f>
        <v>Sí</v>
      </c>
      <c r="J206" s="25" t="str">
        <f>D198</f>
        <v>Compras Menores</v>
      </c>
    </row>
    <row r="207" spans="1:10" ht="14.1" customHeight="1" x14ac:dyDescent="0.25"/>
    <row r="208" spans="1:10" ht="34.15" customHeight="1" thickBot="1" x14ac:dyDescent="0.3">
      <c r="A208" s="24" t="s">
        <v>19</v>
      </c>
      <c r="B208" s="24" t="s">
        <v>20</v>
      </c>
      <c r="C208" s="24" t="s">
        <v>21</v>
      </c>
      <c r="D208" s="24" t="s">
        <v>22</v>
      </c>
      <c r="E208" s="24" t="s">
        <v>23</v>
      </c>
      <c r="F208" s="24" t="s">
        <v>24</v>
      </c>
    </row>
    <row r="209" spans="1:10" ht="14.1" customHeight="1" thickBot="1" x14ac:dyDescent="0.3">
      <c r="A209" s="26" t="s">
        <v>73</v>
      </c>
      <c r="B209" s="26" t="s">
        <v>75</v>
      </c>
      <c r="C209" s="26" t="s">
        <v>27</v>
      </c>
      <c r="D209" s="26" t="s">
        <v>28</v>
      </c>
      <c r="E209" s="26" t="s">
        <v>54</v>
      </c>
      <c r="F209" s="26"/>
    </row>
    <row r="210" spans="1:10" ht="14.1" customHeight="1" thickBot="1" x14ac:dyDescent="0.3">
      <c r="A210" s="43" t="s">
        <v>30</v>
      </c>
      <c r="B210" s="27" t="s">
        <v>31</v>
      </c>
      <c r="C210" s="28">
        <v>44743</v>
      </c>
      <c r="D210" s="43" t="s">
        <v>32</v>
      </c>
      <c r="E210" s="29" t="s">
        <v>33</v>
      </c>
      <c r="F210" s="30" t="s">
        <v>34</v>
      </c>
    </row>
    <row r="211" spans="1:10" ht="14.1" customHeight="1" thickBot="1" x14ac:dyDescent="0.3">
      <c r="A211" s="44"/>
      <c r="B211" s="27" t="s">
        <v>35</v>
      </c>
      <c r="C211" s="31">
        <f>IF(C210="","",IF(AND(MONTH(C210)&gt;=1,MONTH(C210)&lt;=3),1,IF(AND(MONTH(C210)&gt;=4,MONTH(C210)&lt;=6),2,IF(AND(MONTH(C210)&gt;=7,MONTH(C210)&lt;=9),3,4))))</f>
        <v>3</v>
      </c>
      <c r="D211" s="44"/>
      <c r="E211" s="29" t="s">
        <v>36</v>
      </c>
      <c r="F211" s="30"/>
    </row>
    <row r="212" spans="1:10" ht="14.1" customHeight="1" thickBot="1" x14ac:dyDescent="0.3">
      <c r="A212" s="44"/>
      <c r="B212" s="27" t="s">
        <v>37</v>
      </c>
      <c r="C212" s="28">
        <v>44834</v>
      </c>
      <c r="D212" s="44"/>
      <c r="E212" s="29" t="s">
        <v>38</v>
      </c>
      <c r="F212" s="30"/>
    </row>
    <row r="213" spans="1:10" ht="14.1" customHeight="1" thickBot="1" x14ac:dyDescent="0.3">
      <c r="A213" s="44"/>
      <c r="B213" s="27" t="s">
        <v>35</v>
      </c>
      <c r="C213" s="31">
        <f>IF(C212="","",IF(AND(MONTH(C212)&gt;=1,MONTH(C212)&lt;=3),1,IF(AND(MONTH(C212)&gt;=4,MONTH(C212)&lt;=6),2,IF(AND(MONTH(C212)&gt;=7,MONTH(C212)&lt;=9),3,4))))</f>
        <v>3</v>
      </c>
      <c r="D213" s="44"/>
      <c r="E213" s="29" t="s">
        <v>39</v>
      </c>
      <c r="F213" s="30"/>
    </row>
    <row r="214" spans="1:10" ht="14.1" customHeight="1" x14ac:dyDescent="0.25"/>
    <row r="215" spans="1:10" ht="14.1" customHeight="1" thickBot="1" x14ac:dyDescent="0.3">
      <c r="A215" s="32" t="s">
        <v>40</v>
      </c>
      <c r="B215" s="32" t="s">
        <v>41</v>
      </c>
      <c r="C215" s="32" t="s">
        <v>42</v>
      </c>
      <c r="D215" s="32" t="s">
        <v>43</v>
      </c>
      <c r="E215" s="32" t="s">
        <v>44</v>
      </c>
      <c r="F215" s="32" t="s">
        <v>45</v>
      </c>
    </row>
    <row r="216" spans="1:10" ht="14.1" customHeight="1" x14ac:dyDescent="0.25">
      <c r="A216" s="33" t="s">
        <v>74</v>
      </c>
      <c r="B216" s="34" t="str">
        <f ca="1">IFERROR(INDEX(UNSPSCDes,MATCH(INDIRECT(ADDRESS(ROW(),COLUMN()-1,4)),UNSPSCCode,0)),IF(INDIRECT(ADDRESS(ROW(),COLUMN()-1,4))="26111701","Baterías recargables",""))</f>
        <v>Baterías recargables</v>
      </c>
      <c r="C216" s="35" t="str">
        <f>IFERROR(VLOOKUP("UD",'[1]Informacion '!P:Q,2,FALSE),"")</f>
        <v>Unidad</v>
      </c>
      <c r="D216" s="33">
        <v>10</v>
      </c>
      <c r="E216" s="36">
        <v>17000</v>
      </c>
      <c r="F216" s="37">
        <f ca="1">INDIRECT(ADDRESS(ROW(),COLUMN()-2,4))*INDIRECT(ADDRESS(ROW(),COLUMN()-1,4))</f>
        <v>170000</v>
      </c>
    </row>
    <row r="217" spans="1:10" ht="14.1" customHeight="1" x14ac:dyDescent="0.25">
      <c r="E217" s="38" t="s">
        <v>48</v>
      </c>
      <c r="F217" s="39">
        <f ca="1">SUM(Table20[MONTO TOTAL ESTIMADO])</f>
        <v>170000</v>
      </c>
      <c r="H217" s="25" t="str">
        <f>C209</f>
        <v>Bienes</v>
      </c>
      <c r="I217" s="25" t="str">
        <f>E209</f>
        <v>Sí</v>
      </c>
      <c r="J217" s="25" t="str">
        <f>D209</f>
        <v>Compras Menores</v>
      </c>
    </row>
    <row r="218" spans="1:10" ht="14.1" customHeight="1" x14ac:dyDescent="0.25"/>
    <row r="219" spans="1:10" ht="34.15" customHeight="1" thickBot="1" x14ac:dyDescent="0.3">
      <c r="A219" s="24" t="s">
        <v>19</v>
      </c>
      <c r="B219" s="24" t="s">
        <v>20</v>
      </c>
      <c r="C219" s="24" t="s">
        <v>21</v>
      </c>
      <c r="D219" s="24" t="s">
        <v>22</v>
      </c>
      <c r="E219" s="24" t="s">
        <v>23</v>
      </c>
      <c r="F219" s="24" t="s">
        <v>24</v>
      </c>
    </row>
    <row r="220" spans="1:10" ht="14.1" customHeight="1" thickBot="1" x14ac:dyDescent="0.3">
      <c r="A220" s="26" t="s">
        <v>73</v>
      </c>
      <c r="B220" s="26" t="s">
        <v>76</v>
      </c>
      <c r="C220" s="26" t="s">
        <v>27</v>
      </c>
      <c r="D220" s="26" t="s">
        <v>53</v>
      </c>
      <c r="E220" s="26" t="s">
        <v>54</v>
      </c>
      <c r="F220" s="26"/>
    </row>
    <row r="221" spans="1:10" ht="14.1" customHeight="1" thickBot="1" x14ac:dyDescent="0.3">
      <c r="A221" s="43" t="s">
        <v>30</v>
      </c>
      <c r="B221" s="27" t="s">
        <v>31</v>
      </c>
      <c r="C221" s="28">
        <v>44835</v>
      </c>
      <c r="D221" s="43" t="s">
        <v>32</v>
      </c>
      <c r="E221" s="29" t="s">
        <v>33</v>
      </c>
      <c r="F221" s="30" t="s">
        <v>34</v>
      </c>
    </row>
    <row r="222" spans="1:10" ht="14.1" customHeight="1" thickBot="1" x14ac:dyDescent="0.3">
      <c r="A222" s="44"/>
      <c r="B222" s="27" t="s">
        <v>35</v>
      </c>
      <c r="C222" s="31">
        <f>IF(C221="","",IF(AND(MONTH(C221)&gt;=1,MONTH(C221)&lt;=3),1,IF(AND(MONTH(C221)&gt;=4,MONTH(C221)&lt;=6),2,IF(AND(MONTH(C221)&gt;=7,MONTH(C221)&lt;=9),3,4))))</f>
        <v>4</v>
      </c>
      <c r="D222" s="44"/>
      <c r="E222" s="29" t="s">
        <v>36</v>
      </c>
      <c r="F222" s="30"/>
    </row>
    <row r="223" spans="1:10" ht="14.1" customHeight="1" thickBot="1" x14ac:dyDescent="0.3">
      <c r="A223" s="44"/>
      <c r="B223" s="27" t="s">
        <v>37</v>
      </c>
      <c r="C223" s="28">
        <v>44907</v>
      </c>
      <c r="D223" s="44"/>
      <c r="E223" s="29" t="s">
        <v>38</v>
      </c>
      <c r="F223" s="30"/>
    </row>
    <row r="224" spans="1:10" ht="14.1" customHeight="1" thickBot="1" x14ac:dyDescent="0.3">
      <c r="A224" s="44"/>
      <c r="B224" s="27" t="s">
        <v>35</v>
      </c>
      <c r="C224" s="31">
        <f>IF(C223="","",IF(AND(MONTH(C223)&gt;=1,MONTH(C223)&lt;=3),1,IF(AND(MONTH(C223)&gt;=4,MONTH(C223)&lt;=6),2,IF(AND(MONTH(C223)&gt;=7,MONTH(C223)&lt;=9),3,4))))</f>
        <v>4</v>
      </c>
      <c r="D224" s="44"/>
      <c r="E224" s="29" t="s">
        <v>39</v>
      </c>
      <c r="F224" s="30"/>
    </row>
    <row r="225" spans="1:10" ht="14.1" customHeight="1" x14ac:dyDescent="0.25"/>
    <row r="226" spans="1:10" ht="14.1" customHeight="1" thickBot="1" x14ac:dyDescent="0.3">
      <c r="A226" s="32" t="s">
        <v>40</v>
      </c>
      <c r="B226" s="32" t="s">
        <v>41</v>
      </c>
      <c r="C226" s="32" t="s">
        <v>42</v>
      </c>
      <c r="D226" s="32" t="s">
        <v>43</v>
      </c>
      <c r="E226" s="32" t="s">
        <v>44</v>
      </c>
      <c r="F226" s="32" t="s">
        <v>45</v>
      </c>
    </row>
    <row r="227" spans="1:10" ht="14.1" customHeight="1" x14ac:dyDescent="0.25">
      <c r="A227" s="33" t="s">
        <v>74</v>
      </c>
      <c r="B227" s="34" t="str">
        <f ca="1">IFERROR(INDEX(UNSPSCDes,MATCH(INDIRECT(ADDRESS(ROW(),COLUMN()-1,4)),UNSPSCCode,0)),IF(INDIRECT(ADDRESS(ROW(),COLUMN()-1,4))="26111701","Baterías recargables",""))</f>
        <v>Baterías recargables</v>
      </c>
      <c r="C227" s="35" t="str">
        <f>IFERROR(VLOOKUP("UD",'[1]Informacion '!P:Q,2,FALSE),"")</f>
        <v>Unidad</v>
      </c>
      <c r="D227" s="33">
        <v>3</v>
      </c>
      <c r="E227" s="36">
        <v>17000</v>
      </c>
      <c r="F227" s="37">
        <f ca="1">INDIRECT(ADDRESS(ROW(),COLUMN()-2,4))*INDIRECT(ADDRESS(ROW(),COLUMN()-1,4))</f>
        <v>51000</v>
      </c>
    </row>
    <row r="228" spans="1:10" ht="14.1" customHeight="1" x14ac:dyDescent="0.25">
      <c r="E228" s="38" t="s">
        <v>48</v>
      </c>
      <c r="F228" s="39">
        <f ca="1">SUM(Table21[MONTO TOTAL ESTIMADO])</f>
        <v>51000</v>
      </c>
      <c r="H228" s="25" t="str">
        <f>C220</f>
        <v>Bienes</v>
      </c>
      <c r="I228" s="25" t="str">
        <f>E220</f>
        <v>Sí</v>
      </c>
      <c r="J228" s="25" t="str">
        <f>D220</f>
        <v>Compras por debajo del Umbral</v>
      </c>
    </row>
    <row r="229" spans="1:10" ht="14.1" customHeight="1" x14ac:dyDescent="0.25"/>
    <row r="230" spans="1:10" ht="34.15" customHeight="1" thickBot="1" x14ac:dyDescent="0.3">
      <c r="A230" s="24" t="s">
        <v>19</v>
      </c>
      <c r="B230" s="24" t="s">
        <v>20</v>
      </c>
      <c r="C230" s="24" t="s">
        <v>21</v>
      </c>
      <c r="D230" s="24" t="s">
        <v>22</v>
      </c>
      <c r="E230" s="24" t="s">
        <v>23</v>
      </c>
      <c r="F230" s="24" t="s">
        <v>24</v>
      </c>
    </row>
    <row r="231" spans="1:10" ht="14.1" customHeight="1" thickBot="1" x14ac:dyDescent="0.3">
      <c r="A231" s="26" t="s">
        <v>77</v>
      </c>
      <c r="B231" s="26" t="s">
        <v>77</v>
      </c>
      <c r="C231" s="26" t="s">
        <v>27</v>
      </c>
      <c r="D231" s="26" t="s">
        <v>78</v>
      </c>
      <c r="E231" s="26" t="s">
        <v>54</v>
      </c>
      <c r="F231" s="26"/>
    </row>
    <row r="232" spans="1:10" ht="14.1" customHeight="1" thickBot="1" x14ac:dyDescent="0.3">
      <c r="A232" s="43" t="s">
        <v>30</v>
      </c>
      <c r="B232" s="27" t="s">
        <v>31</v>
      </c>
      <c r="C232" s="28">
        <v>44576</v>
      </c>
      <c r="D232" s="43" t="s">
        <v>32</v>
      </c>
      <c r="E232" s="29" t="s">
        <v>33</v>
      </c>
      <c r="F232" s="30" t="s">
        <v>34</v>
      </c>
    </row>
    <row r="233" spans="1:10" ht="14.1" customHeight="1" thickBot="1" x14ac:dyDescent="0.3">
      <c r="A233" s="44"/>
      <c r="B233" s="27" t="s">
        <v>35</v>
      </c>
      <c r="C233" s="31">
        <f>IF(C232="","",IF(AND(MONTH(C232)&gt;=1,MONTH(C232)&lt;=3),1,IF(AND(MONTH(C232)&gt;=4,MONTH(C232)&lt;=6),2,IF(AND(MONTH(C232)&gt;=7,MONTH(C232)&lt;=9),3,4))))</f>
        <v>1</v>
      </c>
      <c r="D233" s="44"/>
      <c r="E233" s="29" t="s">
        <v>36</v>
      </c>
      <c r="F233" s="30"/>
    </row>
    <row r="234" spans="1:10" ht="14.1" customHeight="1" thickBot="1" x14ac:dyDescent="0.3">
      <c r="A234" s="44"/>
      <c r="B234" s="27" t="s">
        <v>37</v>
      </c>
      <c r="C234" s="28">
        <v>44651</v>
      </c>
      <c r="D234" s="44"/>
      <c r="E234" s="29" t="s">
        <v>38</v>
      </c>
      <c r="F234" s="30"/>
    </row>
    <row r="235" spans="1:10" ht="14.1" customHeight="1" thickBot="1" x14ac:dyDescent="0.3">
      <c r="A235" s="44"/>
      <c r="B235" s="27" t="s">
        <v>35</v>
      </c>
      <c r="C235" s="31">
        <f>IF(C234="","",IF(AND(MONTH(C234)&gt;=1,MONTH(C234)&lt;=3),1,IF(AND(MONTH(C234)&gt;=4,MONTH(C234)&lt;=6),2,IF(AND(MONTH(C234)&gt;=7,MONTH(C234)&lt;=9),3,4))))</f>
        <v>1</v>
      </c>
      <c r="D235" s="44"/>
      <c r="E235" s="29" t="s">
        <v>39</v>
      </c>
      <c r="F235" s="30"/>
    </row>
    <row r="236" spans="1:10" ht="14.1" customHeight="1" x14ac:dyDescent="0.25"/>
    <row r="237" spans="1:10" ht="14.1" customHeight="1" thickBot="1" x14ac:dyDescent="0.3">
      <c r="A237" s="32" t="s">
        <v>40</v>
      </c>
      <c r="B237" s="32" t="s">
        <v>41</v>
      </c>
      <c r="C237" s="32" t="s">
        <v>42</v>
      </c>
      <c r="D237" s="32" t="s">
        <v>43</v>
      </c>
      <c r="E237" s="32" t="s">
        <v>44</v>
      </c>
      <c r="F237" s="32" t="s">
        <v>45</v>
      </c>
    </row>
    <row r="238" spans="1:10" ht="14.1" customHeight="1" x14ac:dyDescent="0.25">
      <c r="A238" s="33" t="s">
        <v>79</v>
      </c>
      <c r="B238" s="34" t="str">
        <f ca="1">IFERROR(INDEX(UNSPSCDes,MATCH(INDIRECT(ADDRESS(ROW(),COLUMN()-1,4)),UNSPSCCode,0)),IF(INDIRECT(ADDRESS(ROW(),COLUMN()-1,4))="43211711","Escáneres",""))</f>
        <v>Escáneres</v>
      </c>
      <c r="C238" s="35" t="str">
        <f>IFERROR(VLOOKUP("UD",'[1]Informacion '!P:Q,2,FALSE),"")</f>
        <v>Unidad</v>
      </c>
      <c r="D238" s="33">
        <v>1</v>
      </c>
      <c r="E238" s="36">
        <v>25000</v>
      </c>
      <c r="F238" s="37">
        <f t="shared" ref="F238:F248" ca="1" si="1">INDIRECT(ADDRESS(ROW(),COLUMN()-2,4))*INDIRECT(ADDRESS(ROW(),COLUMN()-1,4))</f>
        <v>25000</v>
      </c>
    </row>
    <row r="239" spans="1:10" ht="14.1" customHeight="1" x14ac:dyDescent="0.25">
      <c r="A239" s="33" t="s">
        <v>80</v>
      </c>
      <c r="B239" s="34" t="str">
        <f ca="1">IFERROR(INDEX(UNSPSCDes,MATCH(INDIRECT(ADDRESS(ROW(),COLUMN()-1,4)),UNSPSCCode,0)),IF(INDIRECT(ADDRESS(ROW(),COLUMN()-1,4))="39121409","Conectores de cables eléctricos",""))</f>
        <v>Conectores de cables eléctricos</v>
      </c>
      <c r="C239" s="35" t="str">
        <f>IFERROR(VLOOKUP("UD",'[1]Informacion '!P:Q,2,FALSE),"")</f>
        <v>Unidad</v>
      </c>
      <c r="D239" s="33">
        <v>20</v>
      </c>
      <c r="E239" s="36">
        <v>100</v>
      </c>
      <c r="F239" s="37">
        <f t="shared" ca="1" si="1"/>
        <v>2000</v>
      </c>
    </row>
    <row r="240" spans="1:10" ht="14.1" customHeight="1" x14ac:dyDescent="0.25">
      <c r="A240" s="33" t="s">
        <v>81</v>
      </c>
      <c r="B240" s="34" t="str">
        <f ca="1">IFERROR(INDEX(UNSPSCDes,MATCH(INDIRECT(ADDRESS(ROW(),COLUMN()-1,4)),UNSPSCCode,0)),IF(INDIRECT(ADDRESS(ROW(),COLUMN()-1,4))="43212105","Impresoras láser",""))</f>
        <v>Impresoras láser</v>
      </c>
      <c r="C240" s="35" t="str">
        <f>IFERROR(VLOOKUP("UD",'[1]Informacion '!P:Q,2,FALSE),"")</f>
        <v>Unidad</v>
      </c>
      <c r="D240" s="33">
        <v>1</v>
      </c>
      <c r="E240" s="36">
        <v>50000</v>
      </c>
      <c r="F240" s="37">
        <f t="shared" ca="1" si="1"/>
        <v>50000</v>
      </c>
    </row>
    <row r="241" spans="1:10" ht="14.1" customHeight="1" x14ac:dyDescent="0.25">
      <c r="A241" s="33" t="s">
        <v>82</v>
      </c>
      <c r="B241" s="34" t="str">
        <f ca="1">IFERROR(INDEX(UNSPSCDes,MATCH(INDIRECT(ADDRESS(ROW(),COLUMN()-1,4)),UNSPSCCode,0)),IF(INDIRECT(ADDRESS(ROW(),COLUMN()-1,4))="43212110","Impresoras de múltiples funciones",""))</f>
        <v>Impresoras de múltiples funciones</v>
      </c>
      <c r="C241" s="35" t="str">
        <f>IFERROR(VLOOKUP("UD",'[1]Informacion '!P:Q,2,FALSE),"")</f>
        <v>Unidad</v>
      </c>
      <c r="D241" s="33">
        <v>1</v>
      </c>
      <c r="E241" s="36">
        <v>40000</v>
      </c>
      <c r="F241" s="37">
        <f t="shared" ca="1" si="1"/>
        <v>40000</v>
      </c>
    </row>
    <row r="242" spans="1:10" ht="14.1" customHeight="1" x14ac:dyDescent="0.25">
      <c r="A242" s="33" t="s">
        <v>83</v>
      </c>
      <c r="B242" s="34" t="str">
        <f ca="1">IFERROR(INDEX(UNSPSCDes,MATCH(INDIRECT(ADDRESS(ROW(),COLUMN()-1,4)),UNSPSCCode,0)),IF(INDIRECT(ADDRESS(ROW(),COLUMN()-1,4))="26121609","Cable de redes",""))</f>
        <v>Cable de redes</v>
      </c>
      <c r="C242" s="35" t="str">
        <f>IFERROR(VLOOKUP("CAJ",'[1]Informacion '!P:Q,2,FALSE),"")</f>
        <v>Caja</v>
      </c>
      <c r="D242" s="33">
        <v>25</v>
      </c>
      <c r="E242" s="36">
        <v>100</v>
      </c>
      <c r="F242" s="37">
        <f t="shared" ca="1" si="1"/>
        <v>2500</v>
      </c>
    </row>
    <row r="243" spans="1:10" ht="14.1" customHeight="1" x14ac:dyDescent="0.25">
      <c r="A243" s="33" t="s">
        <v>84</v>
      </c>
      <c r="B243" s="34" t="str">
        <f ca="1">IFERROR(INDEX(UNSPSCDes,MATCH(INDIRECT(ADDRESS(ROW(),COLUMN()-1,4)),UNSPSCCode,0)),IF(INDIRECT(ADDRESS(ROW(),COLUMN()-1,4))="43201803","Unidades de disco duro",""))</f>
        <v>Unidades de disco duro</v>
      </c>
      <c r="C243" s="35" t="str">
        <f>IFERROR(VLOOKUP("UD",'[1]Informacion '!P:Q,2,FALSE),"")</f>
        <v>Unidad</v>
      </c>
      <c r="D243" s="33">
        <v>4</v>
      </c>
      <c r="E243" s="36">
        <v>6000</v>
      </c>
      <c r="F243" s="37">
        <f t="shared" ca="1" si="1"/>
        <v>24000</v>
      </c>
    </row>
    <row r="244" spans="1:10" ht="14.1" customHeight="1" x14ac:dyDescent="0.25">
      <c r="A244" s="33" t="s">
        <v>83</v>
      </c>
      <c r="B244" s="34" t="str">
        <f ca="1">IFERROR(INDEX(UNSPSCDes,MATCH(INDIRECT(ADDRESS(ROW(),COLUMN()-1,4)),UNSPSCCode,0)),IF(INDIRECT(ADDRESS(ROW(),COLUMN()-1,4))="26121609","Cable de redes",""))</f>
        <v>Cable de redes</v>
      </c>
      <c r="C244" s="35" t="str">
        <f>IFERROR(VLOOKUP("CAJ",'[1]Informacion '!P:Q,2,FALSE),"")</f>
        <v>Caja</v>
      </c>
      <c r="D244" s="33">
        <v>2</v>
      </c>
      <c r="E244" s="36">
        <v>6000</v>
      </c>
      <c r="F244" s="37">
        <f t="shared" ca="1" si="1"/>
        <v>12000</v>
      </c>
    </row>
    <row r="245" spans="1:10" ht="14.1" customHeight="1" x14ac:dyDescent="0.25">
      <c r="A245" s="33" t="s">
        <v>85</v>
      </c>
      <c r="B245" s="34" t="str">
        <f ca="1">IFERROR(INDEX(UNSPSCDes,MATCH(INDIRECT(ADDRESS(ROW(),COLUMN()-1,4)),UNSPSCCode,0)),IF(INDIRECT(ADDRESS(ROW(),COLUMN()-1,4))="27111701","Destornilladores",""))</f>
        <v>Destornilladores</v>
      </c>
      <c r="C245" s="35" t="str">
        <f>IFERROR(VLOOKUP("UD",'[1]Informacion '!P:Q,2,FALSE),"")</f>
        <v>Unidad</v>
      </c>
      <c r="D245" s="33">
        <v>1</v>
      </c>
      <c r="E245" s="36">
        <v>2500</v>
      </c>
      <c r="F245" s="37">
        <f t="shared" ca="1" si="1"/>
        <v>2500</v>
      </c>
    </row>
    <row r="246" spans="1:10" ht="14.1" customHeight="1" x14ac:dyDescent="0.25">
      <c r="A246" s="33" t="s">
        <v>86</v>
      </c>
      <c r="B246" s="34" t="str">
        <f ca="1">IFERROR(INDEX(UNSPSCDes,MATCH(INDIRECT(ADDRESS(ROW(),COLUMN()-1,4)),UNSPSCCode,0)),IF(INDIRECT(ADDRESS(ROW(),COLUMN()-1,4))="43211508","Computadores personales",""))</f>
        <v>Computadores personales</v>
      </c>
      <c r="C246" s="35" t="str">
        <f>IFERROR(VLOOKUP("UD",'[1]Informacion '!P:Q,2,FALSE),"")</f>
        <v>Unidad</v>
      </c>
      <c r="D246" s="33">
        <v>1</v>
      </c>
      <c r="E246" s="36">
        <v>100000</v>
      </c>
      <c r="F246" s="37">
        <f t="shared" ca="1" si="1"/>
        <v>100000</v>
      </c>
    </row>
    <row r="247" spans="1:10" ht="14.1" customHeight="1" x14ac:dyDescent="0.25">
      <c r="A247" s="33" t="s">
        <v>87</v>
      </c>
      <c r="B247" s="34" t="str">
        <f ca="1">IFERROR(INDEX(UNSPSCDes,MATCH(INDIRECT(ADDRESS(ROW(),COLUMN()-1,4)),UNSPSCCode,0)),IF(INDIRECT(ADDRESS(ROW(),COLUMN()-1,4))="43211507","Computadores de escritorio",""))</f>
        <v>Computadores de escritorio</v>
      </c>
      <c r="C247" s="35" t="str">
        <f>IFERROR(VLOOKUP("UD",'[1]Informacion '!P:Q,2,FALSE),"")</f>
        <v>Unidad</v>
      </c>
      <c r="D247" s="33">
        <v>3</v>
      </c>
      <c r="E247" s="36">
        <v>60000</v>
      </c>
      <c r="F247" s="37">
        <f t="shared" ca="1" si="1"/>
        <v>180000</v>
      </c>
    </row>
    <row r="248" spans="1:10" ht="14.1" customHeight="1" x14ac:dyDescent="0.25">
      <c r="A248" s="33" t="s">
        <v>88</v>
      </c>
      <c r="B248" s="34" t="str">
        <f ca="1">IFERROR(INDEX(UNSPSCDes,MATCH(INDIRECT(ADDRESS(ROW(),COLUMN()-1,4)),UNSPSCCode,0)),IF(INDIRECT(ADDRESS(ROW(),COLUMN()-1,4))="26121629","Cable de alimentación",""))</f>
        <v>Cable de alimentación</v>
      </c>
      <c r="C248" s="35" t="str">
        <f>IFERROR(VLOOKUP("UD",'[1]Informacion '!P:Q,2,FALSE),"")</f>
        <v>Unidad</v>
      </c>
      <c r="D248" s="33">
        <v>5</v>
      </c>
      <c r="E248" s="36">
        <v>120</v>
      </c>
      <c r="F248" s="37">
        <f t="shared" ca="1" si="1"/>
        <v>600</v>
      </c>
    </row>
    <row r="249" spans="1:10" ht="14.1" customHeight="1" x14ac:dyDescent="0.25">
      <c r="E249" s="38" t="s">
        <v>48</v>
      </c>
      <c r="F249" s="39">
        <f ca="1">SUM(Table22[MONTO TOTAL ESTIMADO])</f>
        <v>438600</v>
      </c>
      <c r="H249" s="25" t="str">
        <f>C231</f>
        <v>Bienes</v>
      </c>
      <c r="I249" s="25" t="str">
        <f>E231</f>
        <v>Sí</v>
      </c>
      <c r="J249" s="25" t="str">
        <f>D231</f>
        <v>Comparacion de Precios</v>
      </c>
    </row>
    <row r="250" spans="1:10" ht="14.1" customHeight="1" x14ac:dyDescent="0.25"/>
    <row r="251" spans="1:10" ht="34.15" customHeight="1" thickBot="1" x14ac:dyDescent="0.3">
      <c r="A251" s="24" t="s">
        <v>19</v>
      </c>
      <c r="B251" s="24" t="s">
        <v>20</v>
      </c>
      <c r="C251" s="24" t="s">
        <v>21</v>
      </c>
      <c r="D251" s="24" t="s">
        <v>22</v>
      </c>
      <c r="E251" s="24" t="s">
        <v>23</v>
      </c>
      <c r="F251" s="24" t="s">
        <v>24</v>
      </c>
    </row>
    <row r="252" spans="1:10" ht="14.1" customHeight="1" thickBot="1" x14ac:dyDescent="0.3">
      <c r="A252" s="26" t="s">
        <v>89</v>
      </c>
      <c r="B252" s="26" t="s">
        <v>89</v>
      </c>
      <c r="C252" s="26" t="s">
        <v>27</v>
      </c>
      <c r="D252" s="26" t="s">
        <v>78</v>
      </c>
      <c r="E252" s="26" t="s">
        <v>54</v>
      </c>
      <c r="F252" s="26"/>
    </row>
    <row r="253" spans="1:10" ht="14.1" customHeight="1" thickBot="1" x14ac:dyDescent="0.3">
      <c r="A253" s="43" t="s">
        <v>30</v>
      </c>
      <c r="B253" s="27" t="s">
        <v>31</v>
      </c>
      <c r="C253" s="28">
        <v>44652</v>
      </c>
      <c r="D253" s="43" t="s">
        <v>32</v>
      </c>
      <c r="E253" s="29" t="s">
        <v>33</v>
      </c>
      <c r="F253" s="30" t="s">
        <v>34</v>
      </c>
    </row>
    <row r="254" spans="1:10" ht="14.1" customHeight="1" thickBot="1" x14ac:dyDescent="0.3">
      <c r="A254" s="44"/>
      <c r="B254" s="27" t="s">
        <v>35</v>
      </c>
      <c r="C254" s="31">
        <f>IF(C253="","",IF(AND(MONTH(C253)&gt;=1,MONTH(C253)&lt;=3),1,IF(AND(MONTH(C253)&gt;=4,MONTH(C253)&lt;=6),2,IF(AND(MONTH(C253)&gt;=7,MONTH(C253)&lt;=9),3,4))))</f>
        <v>2</v>
      </c>
      <c r="D254" s="44"/>
      <c r="E254" s="29" t="s">
        <v>36</v>
      </c>
      <c r="F254" s="30"/>
    </row>
    <row r="255" spans="1:10" ht="14.1" customHeight="1" thickBot="1" x14ac:dyDescent="0.3">
      <c r="A255" s="44"/>
      <c r="B255" s="27" t="s">
        <v>37</v>
      </c>
      <c r="C255" s="28">
        <v>44742</v>
      </c>
      <c r="D255" s="44"/>
      <c r="E255" s="29" t="s">
        <v>38</v>
      </c>
      <c r="F255" s="30"/>
    </row>
    <row r="256" spans="1:10" ht="14.1" customHeight="1" thickBot="1" x14ac:dyDescent="0.3">
      <c r="A256" s="44"/>
      <c r="B256" s="27" t="s">
        <v>35</v>
      </c>
      <c r="C256" s="31">
        <f>IF(C255="","",IF(AND(MONTH(C255)&gt;=1,MONTH(C255)&lt;=3),1,IF(AND(MONTH(C255)&gt;=4,MONTH(C255)&lt;=6),2,IF(AND(MONTH(C255)&gt;=7,MONTH(C255)&lt;=9),3,4))))</f>
        <v>2</v>
      </c>
      <c r="D256" s="44"/>
      <c r="E256" s="29" t="s">
        <v>39</v>
      </c>
      <c r="F256" s="30"/>
    </row>
    <row r="257" spans="1:10" ht="14.1" customHeight="1" x14ac:dyDescent="0.25"/>
    <row r="258" spans="1:10" ht="14.1" customHeight="1" thickBot="1" x14ac:dyDescent="0.3">
      <c r="A258" s="32" t="s">
        <v>40</v>
      </c>
      <c r="B258" s="32" t="s">
        <v>41</v>
      </c>
      <c r="C258" s="32" t="s">
        <v>42</v>
      </c>
      <c r="D258" s="32" t="s">
        <v>43</v>
      </c>
      <c r="E258" s="32" t="s">
        <v>44</v>
      </c>
      <c r="F258" s="32" t="s">
        <v>45</v>
      </c>
    </row>
    <row r="259" spans="1:10" ht="14.1" customHeight="1" x14ac:dyDescent="0.25">
      <c r="A259" s="33" t="s">
        <v>87</v>
      </c>
      <c r="B259" s="34" t="str">
        <f ca="1">IFERROR(INDEX(UNSPSCDes,MATCH(INDIRECT(ADDRESS(ROW(),COLUMN()-1,4)),UNSPSCCode,0)),IF(INDIRECT(ADDRESS(ROW(),COLUMN()-1,4))="43211507","Computadores de escritorio",""))</f>
        <v>Computadores de escritorio</v>
      </c>
      <c r="C259" s="35" t="str">
        <f>IFERROR(VLOOKUP("UD",'[1]Informacion '!P:Q,2,FALSE),"")</f>
        <v>Unidad</v>
      </c>
      <c r="D259" s="33">
        <v>1</v>
      </c>
      <c r="E259" s="36">
        <v>40000</v>
      </c>
      <c r="F259" s="37">
        <f t="shared" ref="F259:F268" ca="1" si="2">INDIRECT(ADDRESS(ROW(),COLUMN()-2,4))*INDIRECT(ADDRESS(ROW(),COLUMN()-1,4))</f>
        <v>40000</v>
      </c>
    </row>
    <row r="260" spans="1:10" ht="14.1" customHeight="1" x14ac:dyDescent="0.25">
      <c r="A260" s="33" t="s">
        <v>81</v>
      </c>
      <c r="B260" s="34" t="str">
        <f ca="1">IFERROR(INDEX(UNSPSCDes,MATCH(INDIRECT(ADDRESS(ROW(),COLUMN()-1,4)),UNSPSCCode,0)),IF(INDIRECT(ADDRESS(ROW(),COLUMN()-1,4))="43212105","Impresoras láser",""))</f>
        <v>Impresoras láser</v>
      </c>
      <c r="C260" s="35" t="str">
        <f>IFERROR(VLOOKUP("UD",'[1]Informacion '!P:Q,2,FALSE),"")</f>
        <v>Unidad</v>
      </c>
      <c r="D260" s="33">
        <v>2</v>
      </c>
      <c r="E260" s="36">
        <v>15000</v>
      </c>
      <c r="F260" s="37">
        <f t="shared" ca="1" si="2"/>
        <v>30000</v>
      </c>
    </row>
    <row r="261" spans="1:10" ht="14.1" customHeight="1" x14ac:dyDescent="0.25">
      <c r="A261" s="33" t="s">
        <v>82</v>
      </c>
      <c r="B261" s="34" t="str">
        <f ca="1">IFERROR(INDEX(UNSPSCDes,MATCH(INDIRECT(ADDRESS(ROW(),COLUMN()-1,4)),UNSPSCCode,0)),IF(INDIRECT(ADDRESS(ROW(),COLUMN()-1,4))="43212110","Impresoras de múltiples funciones",""))</f>
        <v>Impresoras de múltiples funciones</v>
      </c>
      <c r="C261" s="35" t="str">
        <f>IFERROR(VLOOKUP("UD",'[1]Informacion '!P:Q,2,FALSE),"")</f>
        <v>Unidad</v>
      </c>
      <c r="D261" s="33">
        <v>1</v>
      </c>
      <c r="E261" s="36">
        <v>40000</v>
      </c>
      <c r="F261" s="37">
        <f t="shared" ca="1" si="2"/>
        <v>40000</v>
      </c>
    </row>
    <row r="262" spans="1:10" ht="14.1" customHeight="1" x14ac:dyDescent="0.25">
      <c r="A262" s="33" t="s">
        <v>88</v>
      </c>
      <c r="B262" s="34" t="str">
        <f ca="1">IFERROR(INDEX(UNSPSCDes,MATCH(INDIRECT(ADDRESS(ROW(),COLUMN()-1,4)),UNSPSCCode,0)),IF(INDIRECT(ADDRESS(ROW(),COLUMN()-1,4))="26121629","Cable de alimentación",""))</f>
        <v>Cable de alimentación</v>
      </c>
      <c r="C262" s="35" t="str">
        <f>IFERROR(VLOOKUP("UD",'[1]Informacion '!P:Q,2,FALSE),"")</f>
        <v>Unidad</v>
      </c>
      <c r="D262" s="33">
        <v>10</v>
      </c>
      <c r="E262" s="36">
        <v>120</v>
      </c>
      <c r="F262" s="37">
        <f t="shared" ca="1" si="2"/>
        <v>1200</v>
      </c>
    </row>
    <row r="263" spans="1:10" ht="14.1" customHeight="1" x14ac:dyDescent="0.25">
      <c r="A263" s="33" t="s">
        <v>90</v>
      </c>
      <c r="B263" s="34" t="str">
        <f ca="1">IFERROR(INDEX(UNSPSCDes,MATCH(INDIRECT(ADDRESS(ROW(),COLUMN()-1,4)),UNSPSCCode,0)),IF(INDIRECT(ADDRESS(ROW(),COLUMN()-1,4))="45111616","Proyectores de video",""))</f>
        <v>Proyectores de video</v>
      </c>
      <c r="C263" s="35" t="str">
        <f>IFERROR(VLOOKUP("UD",'[1]Informacion '!P:Q,2,FALSE),"")</f>
        <v>Unidad</v>
      </c>
      <c r="D263" s="33">
        <v>1</v>
      </c>
      <c r="E263" s="36">
        <v>40000</v>
      </c>
      <c r="F263" s="37">
        <f t="shared" ca="1" si="2"/>
        <v>40000</v>
      </c>
    </row>
    <row r="264" spans="1:10" ht="14.1" customHeight="1" x14ac:dyDescent="0.25">
      <c r="A264" s="33" t="s">
        <v>91</v>
      </c>
      <c r="B264" s="34" t="str">
        <f ca="1">IFERROR(INDEX(UNSPSCDes,MATCH(INDIRECT(ADDRESS(ROW(),COLUMN()-1,4)),UNSPSCCode,0)),IF(INDIRECT(ADDRESS(ROW(),COLUMN()-1,4))="32101622","Memoria flash",""))</f>
        <v>Memoria flash</v>
      </c>
      <c r="C264" s="35" t="str">
        <f>IFERROR(VLOOKUP("UD",'[1]Informacion '!P:Q,2,FALSE),"")</f>
        <v>Unidad</v>
      </c>
      <c r="D264" s="33">
        <v>50</v>
      </c>
      <c r="E264" s="36">
        <v>450</v>
      </c>
      <c r="F264" s="37">
        <f t="shared" ca="1" si="2"/>
        <v>22500</v>
      </c>
    </row>
    <row r="265" spans="1:10" ht="14.1" customHeight="1" x14ac:dyDescent="0.25">
      <c r="A265" s="33" t="s">
        <v>83</v>
      </c>
      <c r="B265" s="34" t="str">
        <f ca="1">IFERROR(INDEX(UNSPSCDes,MATCH(INDIRECT(ADDRESS(ROW(),COLUMN()-1,4)),UNSPSCCode,0)),IF(INDIRECT(ADDRESS(ROW(),COLUMN()-1,4))="26121609","Cable de redes",""))</f>
        <v>Cable de redes</v>
      </c>
      <c r="C265" s="35" t="str">
        <f>IFERROR(VLOOKUP("CAJ",'[1]Informacion '!P:Q,2,FALSE),"")</f>
        <v>Caja</v>
      </c>
      <c r="D265" s="33">
        <v>1</v>
      </c>
      <c r="E265" s="36">
        <v>2500</v>
      </c>
      <c r="F265" s="37">
        <f t="shared" ca="1" si="2"/>
        <v>2500</v>
      </c>
    </row>
    <row r="266" spans="1:10" ht="14.1" customHeight="1" x14ac:dyDescent="0.25">
      <c r="A266" s="33" t="s">
        <v>84</v>
      </c>
      <c r="B266" s="34" t="str">
        <f ca="1">IFERROR(INDEX(UNSPSCDes,MATCH(INDIRECT(ADDRESS(ROW(),COLUMN()-1,4)),UNSPSCCode,0)),IF(INDIRECT(ADDRESS(ROW(),COLUMN()-1,4))="43201803","Unidades de disco duro",""))</f>
        <v>Unidades de disco duro</v>
      </c>
      <c r="C266" s="35" t="str">
        <f>IFERROR(VLOOKUP("UD",'[1]Informacion '!P:Q,2,FALSE),"")</f>
        <v>Unidad</v>
      </c>
      <c r="D266" s="33">
        <v>2</v>
      </c>
      <c r="E266" s="36">
        <v>6000</v>
      </c>
      <c r="F266" s="37">
        <f t="shared" ca="1" si="2"/>
        <v>12000</v>
      </c>
    </row>
    <row r="267" spans="1:10" ht="14.1" customHeight="1" x14ac:dyDescent="0.25">
      <c r="A267" s="33" t="s">
        <v>92</v>
      </c>
      <c r="B267" s="34" t="str">
        <f ca="1">IFERROR(INDEX(UNSPSCDes,MATCH(INDIRECT(ADDRESS(ROW(),COLUMN()-1,4)),UNSPSCCode,0)),IF(INDIRECT(ADDRESS(ROW(),COLUMN()-1,4))="43211714","Equipos de identificación biométrica",""))</f>
        <v>Equipos de identificación biométrica</v>
      </c>
      <c r="C267" s="35" t="str">
        <f>IFERROR(VLOOKUP("UD",'[1]Informacion '!P:Q,2,FALSE),"")</f>
        <v>Unidad</v>
      </c>
      <c r="D267" s="33">
        <v>1</v>
      </c>
      <c r="E267" s="36">
        <v>100000</v>
      </c>
      <c r="F267" s="37">
        <f t="shared" ca="1" si="2"/>
        <v>100000</v>
      </c>
    </row>
    <row r="268" spans="1:10" ht="14.1" customHeight="1" x14ac:dyDescent="0.25">
      <c r="A268" s="33" t="s">
        <v>93</v>
      </c>
      <c r="B268" s="34" t="str">
        <f ca="1">IFERROR(INDEX(UNSPSCDes,MATCH(INDIRECT(ADDRESS(ROW(),COLUMN()-1,4)),UNSPSCCode,0)),IF(INDIRECT(ADDRESS(ROW(),COLUMN()-1,4))="43211501","Servidores de computador",""))</f>
        <v>Servidores de computador</v>
      </c>
      <c r="C268" s="35" t="str">
        <f>IFERROR(VLOOKUP("UD",'[1]Informacion '!P:Q,2,FALSE),"")</f>
        <v>Unidad</v>
      </c>
      <c r="D268" s="33">
        <v>1</v>
      </c>
      <c r="E268" s="36">
        <v>1500000</v>
      </c>
      <c r="F268" s="37">
        <f t="shared" ca="1" si="2"/>
        <v>1500000</v>
      </c>
    </row>
    <row r="269" spans="1:10" ht="14.1" customHeight="1" x14ac:dyDescent="0.25">
      <c r="E269" s="38" t="s">
        <v>48</v>
      </c>
      <c r="F269" s="39">
        <f ca="1">SUM(Table23[MONTO TOTAL ESTIMADO])</f>
        <v>1788200</v>
      </c>
      <c r="H269" s="25" t="str">
        <f>C252</f>
        <v>Bienes</v>
      </c>
      <c r="I269" s="25" t="str">
        <f>E252</f>
        <v>Sí</v>
      </c>
      <c r="J269" s="25" t="str">
        <f>D252</f>
        <v>Comparacion de Precios</v>
      </c>
    </row>
    <row r="270" spans="1:10" ht="14.1" customHeight="1" x14ac:dyDescent="0.25"/>
    <row r="271" spans="1:10" ht="34.15" customHeight="1" thickBot="1" x14ac:dyDescent="0.3">
      <c r="A271" s="24" t="s">
        <v>19</v>
      </c>
      <c r="B271" s="24" t="s">
        <v>20</v>
      </c>
      <c r="C271" s="24" t="s">
        <v>21</v>
      </c>
      <c r="D271" s="24" t="s">
        <v>22</v>
      </c>
      <c r="E271" s="24" t="s">
        <v>23</v>
      </c>
      <c r="F271" s="24" t="s">
        <v>24</v>
      </c>
    </row>
    <row r="272" spans="1:10" ht="14.1" customHeight="1" thickBot="1" x14ac:dyDescent="0.3">
      <c r="A272" s="26" t="s">
        <v>89</v>
      </c>
      <c r="B272" s="26" t="s">
        <v>89</v>
      </c>
      <c r="C272" s="26" t="s">
        <v>27</v>
      </c>
      <c r="D272" s="26" t="s">
        <v>78</v>
      </c>
      <c r="E272" s="26" t="s">
        <v>54</v>
      </c>
      <c r="F272" s="26"/>
    </row>
    <row r="273" spans="1:6" ht="14.1" customHeight="1" thickBot="1" x14ac:dyDescent="0.3">
      <c r="A273" s="43" t="s">
        <v>30</v>
      </c>
      <c r="B273" s="27" t="s">
        <v>31</v>
      </c>
      <c r="C273" s="28">
        <v>44743</v>
      </c>
      <c r="D273" s="43" t="s">
        <v>32</v>
      </c>
      <c r="E273" s="29" t="s">
        <v>33</v>
      </c>
      <c r="F273" s="30" t="s">
        <v>34</v>
      </c>
    </row>
    <row r="274" spans="1:6" ht="14.1" customHeight="1" thickBot="1" x14ac:dyDescent="0.3">
      <c r="A274" s="44"/>
      <c r="B274" s="27" t="s">
        <v>35</v>
      </c>
      <c r="C274" s="31">
        <f>IF(C273="","",IF(AND(MONTH(C273)&gt;=1,MONTH(C273)&lt;=3),1,IF(AND(MONTH(C273)&gt;=4,MONTH(C273)&lt;=6),2,IF(AND(MONTH(C273)&gt;=7,MONTH(C273)&lt;=9),3,4))))</f>
        <v>3</v>
      </c>
      <c r="D274" s="44"/>
      <c r="E274" s="29" t="s">
        <v>36</v>
      </c>
      <c r="F274" s="30"/>
    </row>
    <row r="275" spans="1:6" ht="14.1" customHeight="1" thickBot="1" x14ac:dyDescent="0.3">
      <c r="A275" s="44"/>
      <c r="B275" s="27" t="s">
        <v>37</v>
      </c>
      <c r="C275" s="28">
        <v>44834</v>
      </c>
      <c r="D275" s="44"/>
      <c r="E275" s="29" t="s">
        <v>38</v>
      </c>
      <c r="F275" s="30"/>
    </row>
    <row r="276" spans="1:6" ht="14.1" customHeight="1" thickBot="1" x14ac:dyDescent="0.3">
      <c r="A276" s="44"/>
      <c r="B276" s="27" t="s">
        <v>35</v>
      </c>
      <c r="C276" s="31">
        <f>IF(C275="","",IF(AND(MONTH(C275)&gt;=1,MONTH(C275)&lt;=3),1,IF(AND(MONTH(C275)&gt;=4,MONTH(C275)&lt;=6),2,IF(AND(MONTH(C275)&gt;=7,MONTH(C275)&lt;=9),3,4))))</f>
        <v>3</v>
      </c>
      <c r="D276" s="44"/>
      <c r="E276" s="29" t="s">
        <v>39</v>
      </c>
      <c r="F276" s="30"/>
    </row>
    <row r="277" spans="1:6" ht="14.1" customHeight="1" x14ac:dyDescent="0.25"/>
    <row r="278" spans="1:6" ht="14.1" customHeight="1" thickBot="1" x14ac:dyDescent="0.3">
      <c r="A278" s="32" t="s">
        <v>40</v>
      </c>
      <c r="B278" s="32" t="s">
        <v>41</v>
      </c>
      <c r="C278" s="32" t="s">
        <v>42</v>
      </c>
      <c r="D278" s="32" t="s">
        <v>43</v>
      </c>
      <c r="E278" s="32" t="s">
        <v>44</v>
      </c>
      <c r="F278" s="32" t="s">
        <v>45</v>
      </c>
    </row>
    <row r="279" spans="1:6" ht="14.1" customHeight="1" x14ac:dyDescent="0.25">
      <c r="A279" s="33" t="s">
        <v>79</v>
      </c>
      <c r="B279" s="34" t="str">
        <f ca="1">IFERROR(INDEX(UNSPSCDes,MATCH(INDIRECT(ADDRESS(ROW(),COLUMN()-1,4)),UNSPSCCode,0)),IF(INDIRECT(ADDRESS(ROW(),COLUMN()-1,4))="43211711","Escáneres",""))</f>
        <v>Escáneres</v>
      </c>
      <c r="C279" s="35" t="str">
        <f>IFERROR(VLOOKUP("UD",'[1]Informacion '!P:Q,2,FALSE),"")</f>
        <v>Unidad</v>
      </c>
      <c r="D279" s="33">
        <v>1</v>
      </c>
      <c r="E279" s="36">
        <v>25000</v>
      </c>
      <c r="F279" s="37">
        <f t="shared" ref="F279:F291" ca="1" si="3">INDIRECT(ADDRESS(ROW(),COLUMN()-2,4))*INDIRECT(ADDRESS(ROW(),COLUMN()-1,4))</f>
        <v>25000</v>
      </c>
    </row>
    <row r="280" spans="1:6" ht="14.1" customHeight="1" x14ac:dyDescent="0.25">
      <c r="A280" s="33" t="s">
        <v>80</v>
      </c>
      <c r="B280" s="34" t="str">
        <f ca="1">IFERROR(INDEX(UNSPSCDes,MATCH(INDIRECT(ADDRESS(ROW(),COLUMN()-1,4)),UNSPSCCode,0)),IF(INDIRECT(ADDRESS(ROW(),COLUMN()-1,4))="39121409","Conectores de cables eléctricos",""))</f>
        <v>Conectores de cables eléctricos</v>
      </c>
      <c r="C280" s="35" t="str">
        <f>IFERROR(VLOOKUP("UD",'[1]Informacion '!P:Q,2,FALSE),"")</f>
        <v>Unidad</v>
      </c>
      <c r="D280" s="33">
        <v>20</v>
      </c>
      <c r="E280" s="36">
        <v>100</v>
      </c>
      <c r="F280" s="37">
        <f t="shared" ca="1" si="3"/>
        <v>2000</v>
      </c>
    </row>
    <row r="281" spans="1:6" ht="14.1" customHeight="1" x14ac:dyDescent="0.25">
      <c r="A281" s="33" t="s">
        <v>81</v>
      </c>
      <c r="B281" s="34" t="str">
        <f ca="1">IFERROR(INDEX(UNSPSCDes,MATCH(INDIRECT(ADDRESS(ROW(),COLUMN()-1,4)),UNSPSCCode,0)),IF(INDIRECT(ADDRESS(ROW(),COLUMN()-1,4))="43212105","Impresoras láser",""))</f>
        <v>Impresoras láser</v>
      </c>
      <c r="C281" s="35" t="str">
        <f>IFERROR(VLOOKUP("UD",'[1]Informacion '!P:Q,2,FALSE),"")</f>
        <v>Unidad</v>
      </c>
      <c r="D281" s="33">
        <v>1</v>
      </c>
      <c r="E281" s="36">
        <v>50000</v>
      </c>
      <c r="F281" s="37">
        <f t="shared" ca="1" si="3"/>
        <v>50000</v>
      </c>
    </row>
    <row r="282" spans="1:6" ht="14.1" customHeight="1" x14ac:dyDescent="0.25">
      <c r="A282" s="33" t="s">
        <v>82</v>
      </c>
      <c r="B282" s="34" t="str">
        <f ca="1">IFERROR(INDEX(UNSPSCDes,MATCH(INDIRECT(ADDRESS(ROW(),COLUMN()-1,4)),UNSPSCCode,0)),IF(INDIRECT(ADDRESS(ROW(),COLUMN()-1,4))="43212110","Impresoras de múltiples funciones",""))</f>
        <v>Impresoras de múltiples funciones</v>
      </c>
      <c r="C282" s="35" t="str">
        <f>IFERROR(VLOOKUP("UD",'[1]Informacion '!P:Q,2,FALSE),"")</f>
        <v>Unidad</v>
      </c>
      <c r="D282" s="33">
        <v>1</v>
      </c>
      <c r="E282" s="36">
        <v>40000</v>
      </c>
      <c r="F282" s="37">
        <f t="shared" ca="1" si="3"/>
        <v>40000</v>
      </c>
    </row>
    <row r="283" spans="1:6" ht="14.1" customHeight="1" x14ac:dyDescent="0.25">
      <c r="A283" s="33" t="s">
        <v>88</v>
      </c>
      <c r="B283" s="34" t="str">
        <f ca="1">IFERROR(INDEX(UNSPSCDes,MATCH(INDIRECT(ADDRESS(ROW(),COLUMN()-1,4)),UNSPSCCode,0)),IF(INDIRECT(ADDRESS(ROW(),COLUMN()-1,4))="26121629","Cable de alimentación",""))</f>
        <v>Cable de alimentación</v>
      </c>
      <c r="C283" s="35" t="str">
        <f>IFERROR(VLOOKUP("UD",'[1]Informacion '!P:Q,2,FALSE),"")</f>
        <v>Unidad</v>
      </c>
      <c r="D283" s="33">
        <v>5</v>
      </c>
      <c r="E283" s="36">
        <v>120</v>
      </c>
      <c r="F283" s="37">
        <f t="shared" ca="1" si="3"/>
        <v>600</v>
      </c>
    </row>
    <row r="284" spans="1:6" ht="14.1" customHeight="1" x14ac:dyDescent="0.25">
      <c r="A284" s="33" t="s">
        <v>83</v>
      </c>
      <c r="B284" s="34" t="str">
        <f ca="1">IFERROR(INDEX(UNSPSCDes,MATCH(INDIRECT(ADDRESS(ROW(),COLUMN()-1,4)),UNSPSCCode,0)),IF(INDIRECT(ADDRESS(ROW(),COLUMN()-1,4))="26121609","Cable de redes",""))</f>
        <v>Cable de redes</v>
      </c>
      <c r="C284" s="35" t="str">
        <f>IFERROR(VLOOKUP("UD",'[1]Informacion '!P:Q,2,FALSE),"")</f>
        <v>Unidad</v>
      </c>
      <c r="D284" s="33">
        <v>25</v>
      </c>
      <c r="E284" s="36">
        <v>100</v>
      </c>
      <c r="F284" s="37">
        <f t="shared" ca="1" si="3"/>
        <v>2500</v>
      </c>
    </row>
    <row r="285" spans="1:6" ht="14.1" customHeight="1" x14ac:dyDescent="0.25">
      <c r="A285" s="33" t="s">
        <v>84</v>
      </c>
      <c r="B285" s="34" t="str">
        <f ca="1">IFERROR(INDEX(UNSPSCDes,MATCH(INDIRECT(ADDRESS(ROW(),COLUMN()-1,4)),UNSPSCCode,0)),IF(INDIRECT(ADDRESS(ROW(),COLUMN()-1,4))="43201803","Unidades de disco duro",""))</f>
        <v>Unidades de disco duro</v>
      </c>
      <c r="C285" s="35" t="str">
        <f>IFERROR(VLOOKUP("UD",'[1]Informacion '!P:Q,2,FALSE),"")</f>
        <v>Unidad</v>
      </c>
      <c r="D285" s="33">
        <v>4</v>
      </c>
      <c r="E285" s="36">
        <v>6000</v>
      </c>
      <c r="F285" s="37">
        <f t="shared" ca="1" si="3"/>
        <v>24000</v>
      </c>
    </row>
    <row r="286" spans="1:6" ht="14.1" customHeight="1" x14ac:dyDescent="0.25">
      <c r="A286" s="33" t="s">
        <v>83</v>
      </c>
      <c r="B286" s="34" t="str">
        <f ca="1">IFERROR(INDEX(UNSPSCDes,MATCH(INDIRECT(ADDRESS(ROW(),COLUMN()-1,4)),UNSPSCCode,0)),IF(INDIRECT(ADDRESS(ROW(),COLUMN()-1,4))="26121609","Cable de redes",""))</f>
        <v>Cable de redes</v>
      </c>
      <c r="C286" s="35" t="str">
        <f>IFERROR(VLOOKUP("CAJ",'[1]Informacion '!P:Q,2,FALSE),"")</f>
        <v>Caja</v>
      </c>
      <c r="D286" s="33">
        <v>2</v>
      </c>
      <c r="E286" s="36">
        <v>6000</v>
      </c>
      <c r="F286" s="37">
        <f t="shared" ca="1" si="3"/>
        <v>12000</v>
      </c>
    </row>
    <row r="287" spans="1:6" ht="14.1" customHeight="1" x14ac:dyDescent="0.25">
      <c r="A287" s="33" t="s">
        <v>85</v>
      </c>
      <c r="B287" s="34" t="str">
        <f ca="1">IFERROR(INDEX(UNSPSCDes,MATCH(INDIRECT(ADDRESS(ROW(),COLUMN()-1,4)),UNSPSCCode,0)),IF(INDIRECT(ADDRESS(ROW(),COLUMN()-1,4))="27111701","Destornilladores",""))</f>
        <v>Destornilladores</v>
      </c>
      <c r="C287" s="35" t="str">
        <f>IFERROR(VLOOKUP("UD",'[1]Informacion '!P:Q,2,FALSE),"")</f>
        <v>Unidad</v>
      </c>
      <c r="D287" s="33">
        <v>1</v>
      </c>
      <c r="E287" s="36">
        <v>2500</v>
      </c>
      <c r="F287" s="37">
        <f t="shared" ca="1" si="3"/>
        <v>2500</v>
      </c>
    </row>
    <row r="288" spans="1:6" ht="14.1" customHeight="1" x14ac:dyDescent="0.25">
      <c r="A288" s="33" t="s">
        <v>94</v>
      </c>
      <c r="B288" s="34" t="str">
        <f ca="1">IFERROR(INDEX(UNSPSCDes,MATCH(INDIRECT(ADDRESS(ROW(),COLUMN()-1,4)),UNSPSCCode,0)),IF(INDIRECT(ADDRESS(ROW(),COLUMN()-1,4))="43211503","Computadores notebook",""))</f>
        <v>Computadores notebook</v>
      </c>
      <c r="C288" s="35" t="str">
        <f>IFERROR(VLOOKUP("UD",'[1]Informacion '!P:Q,2,FALSE),"")</f>
        <v>Unidad</v>
      </c>
      <c r="D288" s="33">
        <v>1</v>
      </c>
      <c r="E288" s="36">
        <v>100000</v>
      </c>
      <c r="F288" s="37">
        <f t="shared" ca="1" si="3"/>
        <v>100000</v>
      </c>
    </row>
    <row r="289" spans="1:10" ht="14.1" customHeight="1" x14ac:dyDescent="0.25">
      <c r="A289" s="33" t="s">
        <v>87</v>
      </c>
      <c r="B289" s="34" t="str">
        <f ca="1">IFERROR(INDEX(UNSPSCDes,MATCH(INDIRECT(ADDRESS(ROW(),COLUMN()-1,4)),UNSPSCCode,0)),IF(INDIRECT(ADDRESS(ROW(),COLUMN()-1,4))="43211507","Computadores de escritorio",""))</f>
        <v>Computadores de escritorio</v>
      </c>
      <c r="C289" s="35" t="str">
        <f>IFERROR(VLOOKUP("UD",'[1]Informacion '!P:Q,2,FALSE),"")</f>
        <v>Unidad</v>
      </c>
      <c r="D289" s="33">
        <v>3</v>
      </c>
      <c r="E289" s="36">
        <v>60000</v>
      </c>
      <c r="F289" s="37">
        <f t="shared" ca="1" si="3"/>
        <v>180000</v>
      </c>
    </row>
    <row r="290" spans="1:10" ht="14.1" customHeight="1" x14ac:dyDescent="0.25">
      <c r="A290" s="33" t="s">
        <v>93</v>
      </c>
      <c r="B290" s="34" t="str">
        <f ca="1">IFERROR(INDEX(UNSPSCDes,MATCH(INDIRECT(ADDRESS(ROW(),COLUMN()-1,4)),UNSPSCCode,0)),IF(INDIRECT(ADDRESS(ROW(),COLUMN()-1,4))="43211501","Servidores de computador",""))</f>
        <v>Servidores de computador</v>
      </c>
      <c r="C290" s="35" t="str">
        <f>IFERROR(VLOOKUP("UD",'[1]Informacion '!P:Q,2,FALSE),"")</f>
        <v>Unidad</v>
      </c>
      <c r="D290" s="33">
        <v>1</v>
      </c>
      <c r="E290" s="36">
        <v>1500000</v>
      </c>
      <c r="F290" s="37">
        <f t="shared" ca="1" si="3"/>
        <v>1500000</v>
      </c>
    </row>
    <row r="291" spans="1:10" ht="14.1" customHeight="1" x14ac:dyDescent="0.25">
      <c r="A291" s="33" t="s">
        <v>95</v>
      </c>
      <c r="B291" s="34" t="str">
        <f ca="1">IFERROR(INDEX(UNSPSCDes,MATCH(INDIRECT(ADDRESS(ROW(),COLUMN()-1,4)),UNSPSCCode,0)),IF(INDIRECT(ADDRESS(ROW(),COLUMN()-1,4))="43201807","Unidades de cintas",""))</f>
        <v>Unidades de cintas</v>
      </c>
      <c r="C291" s="35" t="str">
        <f>IFERROR(VLOOKUP("UD",'[1]Informacion '!P:Q,2,FALSE),"")</f>
        <v>Unidad</v>
      </c>
      <c r="D291" s="33">
        <v>25</v>
      </c>
      <c r="E291" s="36">
        <v>8000</v>
      </c>
      <c r="F291" s="37">
        <f t="shared" ca="1" si="3"/>
        <v>200000</v>
      </c>
    </row>
    <row r="292" spans="1:10" ht="14.1" customHeight="1" x14ac:dyDescent="0.25">
      <c r="E292" s="38" t="s">
        <v>48</v>
      </c>
      <c r="F292" s="39">
        <f ca="1">SUM(Table24[MONTO TOTAL ESTIMADO])</f>
        <v>2138600</v>
      </c>
      <c r="H292" s="25" t="str">
        <f>C272</f>
        <v>Bienes</v>
      </c>
      <c r="I292" s="25" t="str">
        <f>E272</f>
        <v>Sí</v>
      </c>
      <c r="J292" s="25" t="str">
        <f>D272</f>
        <v>Comparacion de Precios</v>
      </c>
    </row>
    <row r="293" spans="1:10" ht="14.1" customHeight="1" x14ac:dyDescent="0.25"/>
    <row r="294" spans="1:10" ht="34.15" customHeight="1" thickBot="1" x14ac:dyDescent="0.3">
      <c r="A294" s="24" t="s">
        <v>19</v>
      </c>
      <c r="B294" s="24" t="s">
        <v>20</v>
      </c>
      <c r="C294" s="24" t="s">
        <v>21</v>
      </c>
      <c r="D294" s="24" t="s">
        <v>22</v>
      </c>
      <c r="E294" s="24" t="s">
        <v>23</v>
      </c>
      <c r="F294" s="24" t="s">
        <v>24</v>
      </c>
    </row>
    <row r="295" spans="1:10" ht="14.1" customHeight="1" thickBot="1" x14ac:dyDescent="0.3">
      <c r="A295" s="26" t="s">
        <v>96</v>
      </c>
      <c r="B295" s="26" t="s">
        <v>96</v>
      </c>
      <c r="C295" s="26" t="s">
        <v>64</v>
      </c>
      <c r="D295" s="26" t="s">
        <v>28</v>
      </c>
      <c r="E295" s="26" t="s">
        <v>54</v>
      </c>
      <c r="F295" s="26"/>
    </row>
    <row r="296" spans="1:10" ht="14.1" customHeight="1" thickBot="1" x14ac:dyDescent="0.3">
      <c r="A296" s="43" t="s">
        <v>30</v>
      </c>
      <c r="B296" s="27" t="s">
        <v>31</v>
      </c>
      <c r="C296" s="28">
        <v>44576</v>
      </c>
      <c r="D296" s="43" t="s">
        <v>32</v>
      </c>
      <c r="E296" s="29" t="s">
        <v>33</v>
      </c>
      <c r="F296" s="30" t="s">
        <v>34</v>
      </c>
    </row>
    <row r="297" spans="1:10" ht="14.1" customHeight="1" thickBot="1" x14ac:dyDescent="0.3">
      <c r="A297" s="44"/>
      <c r="B297" s="27" t="s">
        <v>35</v>
      </c>
      <c r="C297" s="31">
        <f>IF(C296="","",IF(AND(MONTH(C296)&gt;=1,MONTH(C296)&lt;=3),1,IF(AND(MONTH(C296)&gt;=4,MONTH(C296)&lt;=6),2,IF(AND(MONTH(C296)&gt;=7,MONTH(C296)&lt;=9),3,4))))</f>
        <v>1</v>
      </c>
      <c r="D297" s="44"/>
      <c r="E297" s="29" t="s">
        <v>36</v>
      </c>
      <c r="F297" s="30"/>
    </row>
    <row r="298" spans="1:10" ht="14.1" customHeight="1" thickBot="1" x14ac:dyDescent="0.3">
      <c r="A298" s="44"/>
      <c r="B298" s="27" t="s">
        <v>37</v>
      </c>
      <c r="C298" s="28">
        <v>44651</v>
      </c>
      <c r="D298" s="44"/>
      <c r="E298" s="29" t="s">
        <v>38</v>
      </c>
      <c r="F298" s="30"/>
    </row>
    <row r="299" spans="1:10" ht="14.1" customHeight="1" thickBot="1" x14ac:dyDescent="0.3">
      <c r="A299" s="44"/>
      <c r="B299" s="27" t="s">
        <v>35</v>
      </c>
      <c r="C299" s="31">
        <f>IF(C298="","",IF(AND(MONTH(C298)&gt;=1,MONTH(C298)&lt;=3),1,IF(AND(MONTH(C298)&gt;=4,MONTH(C298)&lt;=6),2,IF(AND(MONTH(C298)&gt;=7,MONTH(C298)&lt;=9),3,4))))</f>
        <v>1</v>
      </c>
      <c r="D299" s="44"/>
      <c r="E299" s="29" t="s">
        <v>39</v>
      </c>
      <c r="F299" s="30"/>
    </row>
    <row r="300" spans="1:10" ht="14.1" customHeight="1" x14ac:dyDescent="0.25"/>
    <row r="301" spans="1:10" ht="14.1" customHeight="1" thickBot="1" x14ac:dyDescent="0.3">
      <c r="A301" s="32" t="s">
        <v>40</v>
      </c>
      <c r="B301" s="32" t="s">
        <v>41</v>
      </c>
      <c r="C301" s="32" t="s">
        <v>42</v>
      </c>
      <c r="D301" s="32" t="s">
        <v>43</v>
      </c>
      <c r="E301" s="32" t="s">
        <v>44</v>
      </c>
      <c r="F301" s="32" t="s">
        <v>45</v>
      </c>
    </row>
    <row r="302" spans="1:10" ht="14.1" customHeight="1" x14ac:dyDescent="0.25">
      <c r="A302" s="33" t="s">
        <v>97</v>
      </c>
      <c r="B302" s="34" t="str">
        <f ca="1">IFERROR(INDEX(UNSPSCDes,MATCH(INDIRECT(ADDRESS(ROW(),COLUMN()-1,4)),UNSPSCCode,0)),IF(INDIRECT(ADDRESS(ROW(),COLUMN()-1,4))="43231512","Software de manejo de licencias",""))</f>
        <v>Software de manejo de licencias</v>
      </c>
      <c r="C302" s="35" t="str">
        <f>IFERROR(VLOOKUP("UD",'[1]Informacion '!P:Q,2,FALSE),"")</f>
        <v>Unidad</v>
      </c>
      <c r="D302" s="33">
        <v>170</v>
      </c>
      <c r="E302" s="36">
        <v>2058.83</v>
      </c>
      <c r="F302" s="37">
        <f ca="1">INDIRECT(ADDRESS(ROW(),COLUMN()-2,4))*INDIRECT(ADDRESS(ROW(),COLUMN()-1,4))</f>
        <v>350001.1</v>
      </c>
    </row>
    <row r="303" spans="1:10" ht="14.1" customHeight="1" x14ac:dyDescent="0.25">
      <c r="A303" s="33" t="s">
        <v>97</v>
      </c>
      <c r="B303" s="34" t="str">
        <f ca="1">IFERROR(INDEX(UNSPSCDes,MATCH(INDIRECT(ADDRESS(ROW(),COLUMN()-1,4)),UNSPSCCode,0)),IF(INDIRECT(ADDRESS(ROW(),COLUMN()-1,4))="43231512","Software de manejo de licencias",""))</f>
        <v>Software de manejo de licencias</v>
      </c>
      <c r="C303" s="35" t="str">
        <f>IFERROR(VLOOKUP("UD",'[1]Informacion '!P:Q,2,FALSE),"")</f>
        <v>Unidad</v>
      </c>
      <c r="D303" s="33">
        <v>170</v>
      </c>
      <c r="E303" s="36">
        <v>1176.48</v>
      </c>
      <c r="F303" s="37">
        <f ca="1">INDIRECT(ADDRESS(ROW(),COLUMN()-2,4))*INDIRECT(ADDRESS(ROW(),COLUMN()-1,4))</f>
        <v>200001.6</v>
      </c>
    </row>
    <row r="304" spans="1:10" ht="14.1" customHeight="1" x14ac:dyDescent="0.25">
      <c r="A304" s="33" t="s">
        <v>97</v>
      </c>
      <c r="B304" s="34" t="str">
        <f ca="1">IFERROR(INDEX(UNSPSCDes,MATCH(INDIRECT(ADDRESS(ROW(),COLUMN()-1,4)),UNSPSCCode,0)),IF(INDIRECT(ADDRESS(ROW(),COLUMN()-1,4))="43231512","Software de manejo de licencias",""))</f>
        <v>Software de manejo de licencias</v>
      </c>
      <c r="C304" s="35" t="str">
        <f>IFERROR(VLOOKUP("UD",'[1]Informacion '!P:Q,2,FALSE),"")</f>
        <v>Unidad</v>
      </c>
      <c r="D304" s="33">
        <v>2</v>
      </c>
      <c r="E304" s="36">
        <v>175000</v>
      </c>
      <c r="F304" s="37">
        <f ca="1">INDIRECT(ADDRESS(ROW(),COLUMN()-2,4))*INDIRECT(ADDRESS(ROW(),COLUMN()-1,4))</f>
        <v>350000</v>
      </c>
    </row>
    <row r="305" spans="1:10" ht="14.1" customHeight="1" x14ac:dyDescent="0.25">
      <c r="E305" s="38" t="s">
        <v>48</v>
      </c>
      <c r="F305" s="39">
        <f ca="1">SUM(Table25[MONTO TOTAL ESTIMADO])</f>
        <v>900002.7</v>
      </c>
      <c r="H305" s="25" t="str">
        <f>C295</f>
        <v>Servicios</v>
      </c>
      <c r="I305" s="25" t="str">
        <f>E295</f>
        <v>Sí</v>
      </c>
      <c r="J305" s="25" t="str">
        <f>D295</f>
        <v>Compras Menores</v>
      </c>
    </row>
    <row r="306" spans="1:10" ht="14.1" customHeight="1" x14ac:dyDescent="0.25"/>
    <row r="307" spans="1:10" ht="34.15" customHeight="1" thickBot="1" x14ac:dyDescent="0.3">
      <c r="A307" s="24" t="s">
        <v>19</v>
      </c>
      <c r="B307" s="24" t="s">
        <v>20</v>
      </c>
      <c r="C307" s="24" t="s">
        <v>21</v>
      </c>
      <c r="D307" s="24" t="s">
        <v>22</v>
      </c>
      <c r="E307" s="24" t="s">
        <v>23</v>
      </c>
      <c r="F307" s="24" t="s">
        <v>24</v>
      </c>
    </row>
    <row r="308" spans="1:10" ht="14.1" customHeight="1" thickBot="1" x14ac:dyDescent="0.3">
      <c r="A308" s="26" t="s">
        <v>98</v>
      </c>
      <c r="B308" s="26" t="s">
        <v>98</v>
      </c>
      <c r="C308" s="26" t="s">
        <v>64</v>
      </c>
      <c r="D308" s="26" t="s">
        <v>78</v>
      </c>
      <c r="E308" s="26" t="s">
        <v>29</v>
      </c>
      <c r="F308" s="26"/>
    </row>
    <row r="309" spans="1:10" ht="14.1" customHeight="1" thickBot="1" x14ac:dyDescent="0.3">
      <c r="A309" s="43" t="s">
        <v>30</v>
      </c>
      <c r="B309" s="27" t="s">
        <v>31</v>
      </c>
      <c r="C309" s="28">
        <v>44652</v>
      </c>
      <c r="D309" s="43" t="s">
        <v>32</v>
      </c>
      <c r="E309" s="29" t="s">
        <v>33</v>
      </c>
      <c r="F309" s="30" t="s">
        <v>34</v>
      </c>
    </row>
    <row r="310" spans="1:10" ht="14.1" customHeight="1" thickBot="1" x14ac:dyDescent="0.3">
      <c r="A310" s="44"/>
      <c r="B310" s="27" t="s">
        <v>35</v>
      </c>
      <c r="C310" s="31">
        <f>IF(C309="","",IF(AND(MONTH(C309)&gt;=1,MONTH(C309)&lt;=3),1,IF(AND(MONTH(C309)&gt;=4,MONTH(C309)&lt;=6),2,IF(AND(MONTH(C309)&gt;=7,MONTH(C309)&lt;=9),3,4))))</f>
        <v>2</v>
      </c>
      <c r="D310" s="44"/>
      <c r="E310" s="29" t="s">
        <v>36</v>
      </c>
      <c r="F310" s="30"/>
    </row>
    <row r="311" spans="1:10" ht="14.1" customHeight="1" thickBot="1" x14ac:dyDescent="0.3">
      <c r="A311" s="44"/>
      <c r="B311" s="27" t="s">
        <v>37</v>
      </c>
      <c r="C311" s="28">
        <v>44742</v>
      </c>
      <c r="D311" s="44"/>
      <c r="E311" s="29" t="s">
        <v>38</v>
      </c>
      <c r="F311" s="30"/>
    </row>
    <row r="312" spans="1:10" ht="14.1" customHeight="1" thickBot="1" x14ac:dyDescent="0.3">
      <c r="A312" s="44"/>
      <c r="B312" s="27" t="s">
        <v>35</v>
      </c>
      <c r="C312" s="31">
        <f>IF(C311="","",IF(AND(MONTH(C311)&gt;=1,MONTH(C311)&lt;=3),1,IF(AND(MONTH(C311)&gt;=4,MONTH(C311)&lt;=6),2,IF(AND(MONTH(C311)&gt;=7,MONTH(C311)&lt;=9),3,4))))</f>
        <v>2</v>
      </c>
      <c r="D312" s="44"/>
      <c r="E312" s="29" t="s">
        <v>39</v>
      </c>
      <c r="F312" s="30"/>
    </row>
    <row r="313" spans="1:10" ht="14.1" customHeight="1" x14ac:dyDescent="0.25"/>
    <row r="314" spans="1:10" ht="14.1" customHeight="1" thickBot="1" x14ac:dyDescent="0.3">
      <c r="A314" s="32" t="s">
        <v>40</v>
      </c>
      <c r="B314" s="32" t="s">
        <v>41</v>
      </c>
      <c r="C314" s="32" t="s">
        <v>42</v>
      </c>
      <c r="D314" s="32" t="s">
        <v>43</v>
      </c>
      <c r="E314" s="32" t="s">
        <v>44</v>
      </c>
      <c r="F314" s="32" t="s">
        <v>45</v>
      </c>
    </row>
    <row r="315" spans="1:10" ht="14.1" customHeight="1" x14ac:dyDescent="0.25">
      <c r="A315" s="33" t="s">
        <v>97</v>
      </c>
      <c r="B315" s="34" t="str">
        <f ca="1">IFERROR(INDEX(UNSPSCDes,MATCH(INDIRECT(ADDRESS(ROW(),COLUMN()-1,4)),UNSPSCCode,0)),IF(INDIRECT(ADDRESS(ROW(),COLUMN()-1,4))="43231512","Software de manejo de licencias",""))</f>
        <v>Software de manejo de licencias</v>
      </c>
      <c r="C315" s="35" t="str">
        <f>IFERROR(VLOOKUP("UD",'[1]Informacion '!P:Q,2,FALSE),"")</f>
        <v>Unidad</v>
      </c>
      <c r="D315" s="33">
        <v>190</v>
      </c>
      <c r="E315" s="36">
        <v>10526.32</v>
      </c>
      <c r="F315" s="37">
        <f ca="1">INDIRECT(ADDRESS(ROW(),COLUMN()-2,4))*INDIRECT(ADDRESS(ROW(),COLUMN()-1,4))</f>
        <v>2000000.8</v>
      </c>
    </row>
    <row r="316" spans="1:10" ht="14.1" customHeight="1" x14ac:dyDescent="0.25">
      <c r="A316" s="33" t="s">
        <v>97</v>
      </c>
      <c r="B316" s="34" t="str">
        <f ca="1">IFERROR(INDEX(UNSPSCDes,MATCH(INDIRECT(ADDRESS(ROW(),COLUMN()-1,4)),UNSPSCCode,0)),IF(INDIRECT(ADDRESS(ROW(),COLUMN()-1,4))="43231512","Software de manejo de licencias",""))</f>
        <v>Software de manejo de licencias</v>
      </c>
      <c r="C316" s="35" t="str">
        <f>IFERROR(VLOOKUP("UD",'[1]Informacion '!P:Q,2,FALSE),"")</f>
        <v>Unidad</v>
      </c>
      <c r="D316" s="33">
        <v>1</v>
      </c>
      <c r="E316" s="36">
        <v>1000000</v>
      </c>
      <c r="F316" s="37">
        <f ca="1">INDIRECT(ADDRESS(ROW(),COLUMN()-2,4))*INDIRECT(ADDRESS(ROW(),COLUMN()-1,4))</f>
        <v>1000000</v>
      </c>
    </row>
    <row r="317" spans="1:10" ht="14.1" customHeight="1" x14ac:dyDescent="0.25">
      <c r="E317" s="38" t="s">
        <v>48</v>
      </c>
      <c r="F317" s="39">
        <f ca="1">SUM(Table26[MONTO TOTAL ESTIMADO])</f>
        <v>3000000.8</v>
      </c>
      <c r="H317" s="25" t="str">
        <f>C308</f>
        <v>Servicios</v>
      </c>
      <c r="I317" s="25" t="str">
        <f>E308</f>
        <v>No</v>
      </c>
      <c r="J317" s="25" t="str">
        <f>D308</f>
        <v>Comparacion de Precios</v>
      </c>
    </row>
    <row r="318" spans="1:10" ht="14.1" customHeight="1" x14ac:dyDescent="0.25"/>
    <row r="319" spans="1:10" ht="34.15" customHeight="1" thickBot="1" x14ac:dyDescent="0.3">
      <c r="A319" s="24" t="s">
        <v>19</v>
      </c>
      <c r="B319" s="24" t="s">
        <v>20</v>
      </c>
      <c r="C319" s="24" t="s">
        <v>21</v>
      </c>
      <c r="D319" s="24" t="s">
        <v>22</v>
      </c>
      <c r="E319" s="24" t="s">
        <v>23</v>
      </c>
      <c r="F319" s="24" t="s">
        <v>24</v>
      </c>
    </row>
    <row r="320" spans="1:10" ht="14.1" customHeight="1" thickBot="1" x14ac:dyDescent="0.3">
      <c r="A320" s="26" t="s">
        <v>98</v>
      </c>
      <c r="B320" s="26" t="s">
        <v>98</v>
      </c>
      <c r="C320" s="26" t="s">
        <v>64</v>
      </c>
      <c r="D320" s="26" t="s">
        <v>53</v>
      </c>
      <c r="E320" s="26" t="s">
        <v>54</v>
      </c>
      <c r="F320" s="26"/>
    </row>
    <row r="321" spans="1:10" ht="14.1" customHeight="1" thickBot="1" x14ac:dyDescent="0.3">
      <c r="A321" s="43" t="s">
        <v>30</v>
      </c>
      <c r="B321" s="27" t="s">
        <v>31</v>
      </c>
      <c r="C321" s="28">
        <v>44743</v>
      </c>
      <c r="D321" s="43" t="s">
        <v>32</v>
      </c>
      <c r="E321" s="29" t="s">
        <v>33</v>
      </c>
      <c r="F321" s="30" t="s">
        <v>34</v>
      </c>
    </row>
    <row r="322" spans="1:10" ht="14.1" customHeight="1" thickBot="1" x14ac:dyDescent="0.3">
      <c r="A322" s="44"/>
      <c r="B322" s="27" t="s">
        <v>35</v>
      </c>
      <c r="C322" s="31">
        <f>IF(C321="","",IF(AND(MONTH(C321)&gt;=1,MONTH(C321)&lt;=3),1,IF(AND(MONTH(C321)&gt;=4,MONTH(C321)&lt;=6),2,IF(AND(MONTH(C321)&gt;=7,MONTH(C321)&lt;=9),3,4))))</f>
        <v>3</v>
      </c>
      <c r="D322" s="44"/>
      <c r="E322" s="29" t="s">
        <v>36</v>
      </c>
      <c r="F322" s="30"/>
    </row>
    <row r="323" spans="1:10" ht="14.1" customHeight="1" thickBot="1" x14ac:dyDescent="0.3">
      <c r="A323" s="44"/>
      <c r="B323" s="27" t="s">
        <v>37</v>
      </c>
      <c r="C323" s="28">
        <v>44834</v>
      </c>
      <c r="D323" s="44"/>
      <c r="E323" s="29" t="s">
        <v>38</v>
      </c>
      <c r="F323" s="30"/>
    </row>
    <row r="324" spans="1:10" ht="14.1" customHeight="1" thickBot="1" x14ac:dyDescent="0.3">
      <c r="A324" s="44"/>
      <c r="B324" s="27" t="s">
        <v>35</v>
      </c>
      <c r="C324" s="31">
        <f>IF(C323="","",IF(AND(MONTH(C323)&gt;=1,MONTH(C323)&lt;=3),1,IF(AND(MONTH(C323)&gt;=4,MONTH(C323)&lt;=6),2,IF(AND(MONTH(C323)&gt;=7,MONTH(C323)&lt;=9),3,4))))</f>
        <v>3</v>
      </c>
      <c r="D324" s="44"/>
      <c r="E324" s="29" t="s">
        <v>39</v>
      </c>
      <c r="F324" s="30"/>
    </row>
    <row r="325" spans="1:10" ht="14.1" customHeight="1" x14ac:dyDescent="0.25"/>
    <row r="326" spans="1:10" ht="14.1" customHeight="1" thickBot="1" x14ac:dyDescent="0.3">
      <c r="A326" s="32" t="s">
        <v>40</v>
      </c>
      <c r="B326" s="32" t="s">
        <v>41</v>
      </c>
      <c r="C326" s="32" t="s">
        <v>42</v>
      </c>
      <c r="D326" s="32" t="s">
        <v>43</v>
      </c>
      <c r="E326" s="32" t="s">
        <v>44</v>
      </c>
      <c r="F326" s="32" t="s">
        <v>45</v>
      </c>
    </row>
    <row r="327" spans="1:10" ht="14.1" customHeight="1" x14ac:dyDescent="0.25">
      <c r="A327" s="33" t="s">
        <v>97</v>
      </c>
      <c r="B327" s="34" t="str">
        <f ca="1">IFERROR(INDEX(UNSPSCDes,MATCH(INDIRECT(ADDRESS(ROW(),COLUMN()-1,4)),UNSPSCCode,0)),IF(INDIRECT(ADDRESS(ROW(),COLUMN()-1,4))="43231512","Software de manejo de licencias",""))</f>
        <v>Software de manejo de licencias</v>
      </c>
      <c r="C327" s="35" t="str">
        <f>IFERROR(VLOOKUP("UD",'[1]Informacion '!P:Q,2,FALSE),"")</f>
        <v>Unidad</v>
      </c>
      <c r="D327" s="33">
        <v>1</v>
      </c>
      <c r="E327" s="36">
        <v>60000</v>
      </c>
      <c r="F327" s="37">
        <f ca="1">INDIRECT(ADDRESS(ROW(),COLUMN()-2,4))*INDIRECT(ADDRESS(ROW(),COLUMN()-1,4))</f>
        <v>60000</v>
      </c>
    </row>
    <row r="328" spans="1:10" ht="14.1" customHeight="1" x14ac:dyDescent="0.25">
      <c r="E328" s="38" t="s">
        <v>48</v>
      </c>
      <c r="F328" s="39">
        <f ca="1">SUM(Table27[MONTO TOTAL ESTIMADO])</f>
        <v>60000</v>
      </c>
      <c r="H328" s="25" t="str">
        <f>C320</f>
        <v>Servicios</v>
      </c>
      <c r="I328" s="25" t="str">
        <f>E320</f>
        <v>Sí</v>
      </c>
      <c r="J328" s="25" t="str">
        <f>D320</f>
        <v>Compras por debajo del Umbral</v>
      </c>
    </row>
    <row r="329" spans="1:10" ht="14.1" customHeight="1" x14ac:dyDescent="0.25"/>
    <row r="330" spans="1:10" ht="34.15" customHeight="1" thickBot="1" x14ac:dyDescent="0.3">
      <c r="A330" s="24" t="s">
        <v>19</v>
      </c>
      <c r="B330" s="24" t="s">
        <v>20</v>
      </c>
      <c r="C330" s="24" t="s">
        <v>21</v>
      </c>
      <c r="D330" s="24" t="s">
        <v>22</v>
      </c>
      <c r="E330" s="24" t="s">
        <v>23</v>
      </c>
      <c r="F330" s="24" t="s">
        <v>24</v>
      </c>
    </row>
    <row r="331" spans="1:10" ht="14.1" customHeight="1" thickBot="1" x14ac:dyDescent="0.3">
      <c r="A331" s="26" t="s">
        <v>99</v>
      </c>
      <c r="B331" s="26" t="s">
        <v>99</v>
      </c>
      <c r="C331" s="26" t="s">
        <v>64</v>
      </c>
      <c r="D331" s="26" t="s">
        <v>53</v>
      </c>
      <c r="E331" s="26" t="s">
        <v>54</v>
      </c>
      <c r="F331" s="26"/>
    </row>
    <row r="332" spans="1:10" ht="14.1" customHeight="1" thickBot="1" x14ac:dyDescent="0.3">
      <c r="A332" s="43" t="s">
        <v>30</v>
      </c>
      <c r="B332" s="27" t="s">
        <v>31</v>
      </c>
      <c r="C332" s="28">
        <v>44576</v>
      </c>
      <c r="D332" s="43" t="s">
        <v>32</v>
      </c>
      <c r="E332" s="29" t="s">
        <v>33</v>
      </c>
      <c r="F332" s="30" t="s">
        <v>34</v>
      </c>
    </row>
    <row r="333" spans="1:10" ht="14.1" customHeight="1" thickBot="1" x14ac:dyDescent="0.3">
      <c r="A333" s="44"/>
      <c r="B333" s="27" t="s">
        <v>35</v>
      </c>
      <c r="C333" s="31">
        <f>IF(C332="","",IF(AND(MONTH(C332)&gt;=1,MONTH(C332)&lt;=3),1,IF(AND(MONTH(C332)&gt;=4,MONTH(C332)&lt;=6),2,IF(AND(MONTH(C332)&gt;=7,MONTH(C332)&lt;=9),3,4))))</f>
        <v>1</v>
      </c>
      <c r="D333" s="44"/>
      <c r="E333" s="29" t="s">
        <v>36</v>
      </c>
      <c r="F333" s="30"/>
    </row>
    <row r="334" spans="1:10" ht="14.1" customHeight="1" thickBot="1" x14ac:dyDescent="0.3">
      <c r="A334" s="44"/>
      <c r="B334" s="27" t="s">
        <v>37</v>
      </c>
      <c r="C334" s="28">
        <v>44651</v>
      </c>
      <c r="D334" s="44"/>
      <c r="E334" s="29" t="s">
        <v>38</v>
      </c>
      <c r="F334" s="30"/>
    </row>
    <row r="335" spans="1:10" ht="14.1" customHeight="1" thickBot="1" x14ac:dyDescent="0.3">
      <c r="A335" s="44"/>
      <c r="B335" s="27" t="s">
        <v>35</v>
      </c>
      <c r="C335" s="31">
        <f>IF(C334="","",IF(AND(MONTH(C334)&gt;=1,MONTH(C334)&lt;=3),1,IF(AND(MONTH(C334)&gt;=4,MONTH(C334)&lt;=6),2,IF(AND(MONTH(C334)&gt;=7,MONTH(C334)&lt;=9),3,4))))</f>
        <v>1</v>
      </c>
      <c r="D335" s="44"/>
      <c r="E335" s="29" t="s">
        <v>39</v>
      </c>
      <c r="F335" s="30"/>
    </row>
    <row r="336" spans="1:10" ht="14.1" customHeight="1" x14ac:dyDescent="0.25"/>
    <row r="337" spans="1:10" ht="14.1" customHeight="1" thickBot="1" x14ac:dyDescent="0.3">
      <c r="A337" s="32" t="s">
        <v>40</v>
      </c>
      <c r="B337" s="32" t="s">
        <v>41</v>
      </c>
      <c r="C337" s="32" t="s">
        <v>42</v>
      </c>
      <c r="D337" s="32" t="s">
        <v>43</v>
      </c>
      <c r="E337" s="32" t="s">
        <v>44</v>
      </c>
      <c r="F337" s="32" t="s">
        <v>45</v>
      </c>
    </row>
    <row r="338" spans="1:10" ht="14.1" customHeight="1" x14ac:dyDescent="0.25">
      <c r="A338" s="33" t="s">
        <v>100</v>
      </c>
      <c r="B338" s="34" t="str">
        <f ca="1">IFERROR(INDEX(UNSPSCDes,MATCH(INDIRECT(ADDRESS(ROW(),COLUMN()-1,4)),UNSPSCCode,0)),IF(INDIRECT(ADDRESS(ROW(),COLUMN()-1,4))="81111812","Servicio de mantenimiento o soporte del hardware del computador",""))</f>
        <v>Servicio de mantenimiento o soporte del hardware del computador</v>
      </c>
      <c r="C338" s="35" t="str">
        <f>IFERROR(VLOOKUP("UD",'[1]Informacion '!P:Q,2,FALSE),"")</f>
        <v>Unidad</v>
      </c>
      <c r="D338" s="33">
        <v>1</v>
      </c>
      <c r="E338" s="36">
        <v>100000</v>
      </c>
      <c r="F338" s="37">
        <f ca="1">INDIRECT(ADDRESS(ROW(),COLUMN()-2,4))*INDIRECT(ADDRESS(ROW(),COLUMN()-1,4))</f>
        <v>100000</v>
      </c>
    </row>
    <row r="339" spans="1:10" ht="14.1" customHeight="1" x14ac:dyDescent="0.25">
      <c r="E339" s="38" t="s">
        <v>48</v>
      </c>
      <c r="F339" s="39">
        <f ca="1">SUM(Table28[MONTO TOTAL ESTIMADO])</f>
        <v>100000</v>
      </c>
      <c r="H339" s="25" t="str">
        <f>C331</f>
        <v>Servicios</v>
      </c>
      <c r="I339" s="25" t="str">
        <f>E331</f>
        <v>Sí</v>
      </c>
      <c r="J339" s="25" t="str">
        <f>D331</f>
        <v>Compras por debajo del Umbral</v>
      </c>
    </row>
    <row r="340" spans="1:10" ht="14.1" customHeight="1" x14ac:dyDescent="0.25"/>
    <row r="341" spans="1:10" ht="34.15" customHeight="1" thickBot="1" x14ac:dyDescent="0.3">
      <c r="A341" s="24" t="s">
        <v>19</v>
      </c>
      <c r="B341" s="24" t="s">
        <v>20</v>
      </c>
      <c r="C341" s="24" t="s">
        <v>21</v>
      </c>
      <c r="D341" s="24" t="s">
        <v>22</v>
      </c>
      <c r="E341" s="24" t="s">
        <v>23</v>
      </c>
      <c r="F341" s="24" t="s">
        <v>24</v>
      </c>
    </row>
    <row r="342" spans="1:10" ht="14.1" customHeight="1" thickBot="1" x14ac:dyDescent="0.3">
      <c r="A342" s="26" t="s">
        <v>99</v>
      </c>
      <c r="B342" s="26" t="s">
        <v>99</v>
      </c>
      <c r="C342" s="26" t="s">
        <v>64</v>
      </c>
      <c r="D342" s="26" t="s">
        <v>53</v>
      </c>
      <c r="E342" s="26" t="s">
        <v>54</v>
      </c>
      <c r="F342" s="26"/>
    </row>
    <row r="343" spans="1:10" ht="14.1" customHeight="1" thickBot="1" x14ac:dyDescent="0.3">
      <c r="A343" s="43" t="s">
        <v>30</v>
      </c>
      <c r="B343" s="27" t="s">
        <v>31</v>
      </c>
      <c r="C343" s="28">
        <v>44652</v>
      </c>
      <c r="D343" s="43" t="s">
        <v>32</v>
      </c>
      <c r="E343" s="29" t="s">
        <v>33</v>
      </c>
      <c r="F343" s="30" t="s">
        <v>34</v>
      </c>
    </row>
    <row r="344" spans="1:10" ht="14.1" customHeight="1" thickBot="1" x14ac:dyDescent="0.3">
      <c r="A344" s="44"/>
      <c r="B344" s="27" t="s">
        <v>35</v>
      </c>
      <c r="C344" s="31">
        <f>IF(C343="","",IF(AND(MONTH(C343)&gt;=1,MONTH(C343)&lt;=3),1,IF(AND(MONTH(C343)&gt;=4,MONTH(C343)&lt;=6),2,IF(AND(MONTH(C343)&gt;=7,MONTH(C343)&lt;=9),3,4))))</f>
        <v>2</v>
      </c>
      <c r="D344" s="44"/>
      <c r="E344" s="29" t="s">
        <v>36</v>
      </c>
      <c r="F344" s="30"/>
    </row>
    <row r="345" spans="1:10" ht="14.1" customHeight="1" thickBot="1" x14ac:dyDescent="0.3">
      <c r="A345" s="44"/>
      <c r="B345" s="27" t="s">
        <v>37</v>
      </c>
      <c r="C345" s="28">
        <v>44742</v>
      </c>
      <c r="D345" s="44"/>
      <c r="E345" s="29" t="s">
        <v>38</v>
      </c>
      <c r="F345" s="30"/>
    </row>
    <row r="346" spans="1:10" ht="14.1" customHeight="1" thickBot="1" x14ac:dyDescent="0.3">
      <c r="A346" s="44"/>
      <c r="B346" s="27" t="s">
        <v>35</v>
      </c>
      <c r="C346" s="31">
        <f>IF(C345="","",IF(AND(MONTH(C345)&gt;=1,MONTH(C345)&lt;=3),1,IF(AND(MONTH(C345)&gt;=4,MONTH(C345)&lt;=6),2,IF(AND(MONTH(C345)&gt;=7,MONTH(C345)&lt;=9),3,4))))</f>
        <v>2</v>
      </c>
      <c r="D346" s="44"/>
      <c r="E346" s="29" t="s">
        <v>39</v>
      </c>
      <c r="F346" s="30"/>
    </row>
    <row r="347" spans="1:10" ht="14.1" customHeight="1" x14ac:dyDescent="0.25"/>
    <row r="348" spans="1:10" ht="14.1" customHeight="1" thickBot="1" x14ac:dyDescent="0.3">
      <c r="A348" s="32" t="s">
        <v>40</v>
      </c>
      <c r="B348" s="32" t="s">
        <v>41</v>
      </c>
      <c r="C348" s="32" t="s">
        <v>42</v>
      </c>
      <c r="D348" s="32" t="s">
        <v>43</v>
      </c>
      <c r="E348" s="32" t="s">
        <v>44</v>
      </c>
      <c r="F348" s="32" t="s">
        <v>45</v>
      </c>
    </row>
    <row r="349" spans="1:10" ht="14.1" customHeight="1" x14ac:dyDescent="0.25">
      <c r="A349" s="33" t="s">
        <v>100</v>
      </c>
      <c r="B349" s="34" t="str">
        <f ca="1">IFERROR(INDEX(UNSPSCDes,MATCH(INDIRECT(ADDRESS(ROW(),COLUMN()-1,4)),UNSPSCCode,0)),IF(INDIRECT(ADDRESS(ROW(),COLUMN()-1,4))="81111812","Servicio de mantenimiento o soporte del hardware del computador",""))</f>
        <v>Servicio de mantenimiento o soporte del hardware del computador</v>
      </c>
      <c r="C349" s="35" t="str">
        <f>IFERROR(VLOOKUP("UD",'[1]Informacion '!P:Q,2,FALSE),"")</f>
        <v>Unidad</v>
      </c>
      <c r="D349" s="33">
        <v>1</v>
      </c>
      <c r="E349" s="36">
        <v>100000</v>
      </c>
      <c r="F349" s="37">
        <f ca="1">INDIRECT(ADDRESS(ROW(),COLUMN()-2,4))*INDIRECT(ADDRESS(ROW(),COLUMN()-1,4))</f>
        <v>100000</v>
      </c>
    </row>
    <row r="350" spans="1:10" ht="14.1" customHeight="1" x14ac:dyDescent="0.25">
      <c r="E350" s="38" t="s">
        <v>48</v>
      </c>
      <c r="F350" s="39">
        <f ca="1">SUM(Table29[MONTO TOTAL ESTIMADO])</f>
        <v>100000</v>
      </c>
      <c r="H350" s="25" t="str">
        <f>C342</f>
        <v>Servicios</v>
      </c>
      <c r="I350" s="25" t="str">
        <f>E342</f>
        <v>Sí</v>
      </c>
      <c r="J350" s="25" t="str">
        <f>D342</f>
        <v>Compras por debajo del Umbral</v>
      </c>
    </row>
    <row r="351" spans="1:10" ht="14.1" customHeight="1" x14ac:dyDescent="0.25"/>
    <row r="352" spans="1:10" ht="34.15" customHeight="1" thickBot="1" x14ac:dyDescent="0.3">
      <c r="A352" s="24" t="s">
        <v>19</v>
      </c>
      <c r="B352" s="24" t="s">
        <v>20</v>
      </c>
      <c r="C352" s="24" t="s">
        <v>21</v>
      </c>
      <c r="D352" s="24" t="s">
        <v>22</v>
      </c>
      <c r="E352" s="24" t="s">
        <v>23</v>
      </c>
      <c r="F352" s="24" t="s">
        <v>24</v>
      </c>
    </row>
    <row r="353" spans="1:10" ht="14.1" customHeight="1" thickBot="1" x14ac:dyDescent="0.3">
      <c r="A353" s="26" t="s">
        <v>99</v>
      </c>
      <c r="B353" s="26" t="s">
        <v>99</v>
      </c>
      <c r="C353" s="26" t="s">
        <v>64</v>
      </c>
      <c r="D353" s="26" t="s">
        <v>53</v>
      </c>
      <c r="E353" s="26" t="s">
        <v>54</v>
      </c>
      <c r="F353" s="26"/>
    </row>
    <row r="354" spans="1:10" ht="14.1" customHeight="1" thickBot="1" x14ac:dyDescent="0.3">
      <c r="A354" s="43" t="s">
        <v>30</v>
      </c>
      <c r="B354" s="27" t="s">
        <v>31</v>
      </c>
      <c r="C354" s="28">
        <v>44743</v>
      </c>
      <c r="D354" s="43" t="s">
        <v>32</v>
      </c>
      <c r="E354" s="29" t="s">
        <v>33</v>
      </c>
      <c r="F354" s="30" t="s">
        <v>34</v>
      </c>
    </row>
    <row r="355" spans="1:10" ht="14.1" customHeight="1" thickBot="1" x14ac:dyDescent="0.3">
      <c r="A355" s="44"/>
      <c r="B355" s="27" t="s">
        <v>35</v>
      </c>
      <c r="C355" s="31">
        <f>IF(C354="","",IF(AND(MONTH(C354)&gt;=1,MONTH(C354)&lt;=3),1,IF(AND(MONTH(C354)&gt;=4,MONTH(C354)&lt;=6),2,IF(AND(MONTH(C354)&gt;=7,MONTH(C354)&lt;=9),3,4))))</f>
        <v>3</v>
      </c>
      <c r="D355" s="44"/>
      <c r="E355" s="29" t="s">
        <v>36</v>
      </c>
      <c r="F355" s="30"/>
    </row>
    <row r="356" spans="1:10" ht="14.1" customHeight="1" thickBot="1" x14ac:dyDescent="0.3">
      <c r="A356" s="44"/>
      <c r="B356" s="27" t="s">
        <v>37</v>
      </c>
      <c r="C356" s="28">
        <v>44834</v>
      </c>
      <c r="D356" s="44"/>
      <c r="E356" s="29" t="s">
        <v>38</v>
      </c>
      <c r="F356" s="30"/>
    </row>
    <row r="357" spans="1:10" ht="14.1" customHeight="1" thickBot="1" x14ac:dyDescent="0.3">
      <c r="A357" s="44"/>
      <c r="B357" s="27" t="s">
        <v>35</v>
      </c>
      <c r="C357" s="31">
        <f>IF(C356="","",IF(AND(MONTH(C356)&gt;=1,MONTH(C356)&lt;=3),1,IF(AND(MONTH(C356)&gt;=4,MONTH(C356)&lt;=6),2,IF(AND(MONTH(C356)&gt;=7,MONTH(C356)&lt;=9),3,4))))</f>
        <v>3</v>
      </c>
      <c r="D357" s="44"/>
      <c r="E357" s="29" t="s">
        <v>39</v>
      </c>
      <c r="F357" s="30"/>
    </row>
    <row r="358" spans="1:10" ht="14.1" customHeight="1" x14ac:dyDescent="0.25"/>
    <row r="359" spans="1:10" ht="14.1" customHeight="1" thickBot="1" x14ac:dyDescent="0.3">
      <c r="A359" s="32" t="s">
        <v>40</v>
      </c>
      <c r="B359" s="32" t="s">
        <v>41</v>
      </c>
      <c r="C359" s="32" t="s">
        <v>42</v>
      </c>
      <c r="D359" s="32" t="s">
        <v>43</v>
      </c>
      <c r="E359" s="32" t="s">
        <v>44</v>
      </c>
      <c r="F359" s="32" t="s">
        <v>45</v>
      </c>
    </row>
    <row r="360" spans="1:10" ht="14.1" customHeight="1" x14ac:dyDescent="0.25">
      <c r="A360" s="33" t="s">
        <v>100</v>
      </c>
      <c r="B360" s="34" t="str">
        <f ca="1">IFERROR(INDEX(UNSPSCDes,MATCH(INDIRECT(ADDRESS(ROW(),COLUMN()-1,4)),UNSPSCCode,0)),IF(INDIRECT(ADDRESS(ROW(),COLUMN()-1,4))="81111812","Servicio de mantenimiento o soporte del hardware del computador",""))</f>
        <v>Servicio de mantenimiento o soporte del hardware del computador</v>
      </c>
      <c r="C360" s="35" t="str">
        <f>IFERROR(VLOOKUP("UD",'[1]Informacion '!P:Q,2,FALSE),"")</f>
        <v>Unidad</v>
      </c>
      <c r="D360" s="33">
        <v>1</v>
      </c>
      <c r="E360" s="36">
        <v>100000</v>
      </c>
      <c r="F360" s="37">
        <f ca="1">INDIRECT(ADDRESS(ROW(),COLUMN()-2,4))*INDIRECT(ADDRESS(ROW(),COLUMN()-1,4))</f>
        <v>100000</v>
      </c>
    </row>
    <row r="361" spans="1:10" ht="14.1" customHeight="1" x14ac:dyDescent="0.25">
      <c r="E361" s="38" t="s">
        <v>48</v>
      </c>
      <c r="F361" s="39">
        <f ca="1">SUM(Table30[MONTO TOTAL ESTIMADO])</f>
        <v>100000</v>
      </c>
      <c r="H361" s="25" t="str">
        <f>C353</f>
        <v>Servicios</v>
      </c>
      <c r="I361" s="25" t="str">
        <f>E353</f>
        <v>Sí</v>
      </c>
      <c r="J361" s="25" t="str">
        <f>D353</f>
        <v>Compras por debajo del Umbral</v>
      </c>
    </row>
    <row r="362" spans="1:10" ht="14.1" customHeight="1" x14ac:dyDescent="0.25"/>
    <row r="363" spans="1:10" ht="34.15" customHeight="1" thickBot="1" x14ac:dyDescent="0.3">
      <c r="A363" s="24" t="s">
        <v>19</v>
      </c>
      <c r="B363" s="24" t="s">
        <v>20</v>
      </c>
      <c r="C363" s="24" t="s">
        <v>21</v>
      </c>
      <c r="D363" s="24" t="s">
        <v>22</v>
      </c>
      <c r="E363" s="24" t="s">
        <v>23</v>
      </c>
      <c r="F363" s="24" t="s">
        <v>24</v>
      </c>
    </row>
    <row r="364" spans="1:10" ht="14.1" customHeight="1" thickBot="1" x14ac:dyDescent="0.3">
      <c r="A364" s="26" t="s">
        <v>99</v>
      </c>
      <c r="B364" s="26" t="s">
        <v>99</v>
      </c>
      <c r="C364" s="26" t="s">
        <v>64</v>
      </c>
      <c r="D364" s="26" t="s">
        <v>53</v>
      </c>
      <c r="E364" s="26" t="s">
        <v>54</v>
      </c>
      <c r="F364" s="26"/>
    </row>
    <row r="365" spans="1:10" ht="14.1" customHeight="1" thickBot="1" x14ac:dyDescent="0.3">
      <c r="A365" s="43" t="s">
        <v>30</v>
      </c>
      <c r="B365" s="27" t="s">
        <v>31</v>
      </c>
      <c r="C365" s="28">
        <v>44837</v>
      </c>
      <c r="D365" s="43" t="s">
        <v>32</v>
      </c>
      <c r="E365" s="29" t="s">
        <v>33</v>
      </c>
      <c r="F365" s="30" t="s">
        <v>34</v>
      </c>
    </row>
    <row r="366" spans="1:10" ht="14.1" customHeight="1" thickBot="1" x14ac:dyDescent="0.3">
      <c r="A366" s="44"/>
      <c r="B366" s="27" t="s">
        <v>35</v>
      </c>
      <c r="C366" s="31">
        <f>IF(C365="","",IF(AND(MONTH(C365)&gt;=1,MONTH(C365)&lt;=3),1,IF(AND(MONTH(C365)&gt;=4,MONTH(C365)&lt;=6),2,IF(AND(MONTH(C365)&gt;=7,MONTH(C365)&lt;=9),3,4))))</f>
        <v>4</v>
      </c>
      <c r="D366" s="44"/>
      <c r="E366" s="29" t="s">
        <v>36</v>
      </c>
      <c r="F366" s="30"/>
    </row>
    <row r="367" spans="1:10" ht="14.1" customHeight="1" thickBot="1" x14ac:dyDescent="0.3">
      <c r="A367" s="44"/>
      <c r="B367" s="27" t="s">
        <v>37</v>
      </c>
      <c r="C367" s="28">
        <v>44925</v>
      </c>
      <c r="D367" s="44"/>
      <c r="E367" s="29" t="s">
        <v>38</v>
      </c>
      <c r="F367" s="30"/>
    </row>
    <row r="368" spans="1:10" ht="14.1" customHeight="1" thickBot="1" x14ac:dyDescent="0.3">
      <c r="A368" s="44"/>
      <c r="B368" s="27" t="s">
        <v>35</v>
      </c>
      <c r="C368" s="31">
        <f>IF(C367="","",IF(AND(MONTH(C367)&gt;=1,MONTH(C367)&lt;=3),1,IF(AND(MONTH(C367)&gt;=4,MONTH(C367)&lt;=6),2,IF(AND(MONTH(C367)&gt;=7,MONTH(C367)&lt;=9),3,4))))</f>
        <v>4</v>
      </c>
      <c r="D368" s="44"/>
      <c r="E368" s="29" t="s">
        <v>39</v>
      </c>
      <c r="F368" s="30"/>
    </row>
    <row r="369" spans="1:10" ht="14.1" customHeight="1" x14ac:dyDescent="0.25"/>
    <row r="370" spans="1:10" ht="14.1" customHeight="1" thickBot="1" x14ac:dyDescent="0.3">
      <c r="A370" s="32" t="s">
        <v>40</v>
      </c>
      <c r="B370" s="32" t="s">
        <v>41</v>
      </c>
      <c r="C370" s="32" t="s">
        <v>42</v>
      </c>
      <c r="D370" s="32" t="s">
        <v>43</v>
      </c>
      <c r="E370" s="32" t="s">
        <v>44</v>
      </c>
      <c r="F370" s="32" t="s">
        <v>45</v>
      </c>
    </row>
    <row r="371" spans="1:10" ht="14.1" customHeight="1" x14ac:dyDescent="0.25">
      <c r="A371" s="33" t="s">
        <v>100</v>
      </c>
      <c r="B371" s="34" t="str">
        <f ca="1">IFERROR(INDEX(UNSPSCDes,MATCH(INDIRECT(ADDRESS(ROW(),COLUMN()-1,4)),UNSPSCCode,0)),IF(INDIRECT(ADDRESS(ROW(),COLUMN()-1,4))="81111812","Servicio de mantenimiento o soporte del hardware del computador",""))</f>
        <v>Servicio de mantenimiento o soporte del hardware del computador</v>
      </c>
      <c r="C371" s="35" t="str">
        <f>IFERROR(VLOOKUP("UD",'[1]Informacion '!P:Q,2,FALSE),"")</f>
        <v>Unidad</v>
      </c>
      <c r="D371" s="33">
        <v>2</v>
      </c>
      <c r="E371" s="36">
        <v>20000</v>
      </c>
      <c r="F371" s="37">
        <f ca="1">INDIRECT(ADDRESS(ROW(),COLUMN()-2,4))*INDIRECT(ADDRESS(ROW(),COLUMN()-1,4))</f>
        <v>40000</v>
      </c>
    </row>
    <row r="372" spans="1:10" ht="14.1" customHeight="1" x14ac:dyDescent="0.25">
      <c r="E372" s="38" t="s">
        <v>48</v>
      </c>
      <c r="F372" s="39">
        <f ca="1">SUM(Table31[MONTO TOTAL ESTIMADO])</f>
        <v>40000</v>
      </c>
      <c r="H372" s="25" t="str">
        <f>C364</f>
        <v>Servicios</v>
      </c>
      <c r="I372" s="25" t="str">
        <f>E364</f>
        <v>Sí</v>
      </c>
      <c r="J372" s="25" t="str">
        <f>D364</f>
        <v>Compras por debajo del Umbral</v>
      </c>
    </row>
    <row r="373" spans="1:10" ht="14.1" customHeight="1" x14ac:dyDescent="0.25"/>
    <row r="374" spans="1:10" ht="34.15" customHeight="1" thickBot="1" x14ac:dyDescent="0.3">
      <c r="A374" s="24" t="s">
        <v>19</v>
      </c>
      <c r="B374" s="24" t="s">
        <v>20</v>
      </c>
      <c r="C374" s="24" t="s">
        <v>21</v>
      </c>
      <c r="D374" s="24" t="s">
        <v>22</v>
      </c>
      <c r="E374" s="24" t="s">
        <v>23</v>
      </c>
      <c r="F374" s="24" t="s">
        <v>24</v>
      </c>
    </row>
    <row r="375" spans="1:10" ht="14.1" customHeight="1" thickBot="1" x14ac:dyDescent="0.3">
      <c r="A375" s="26" t="s">
        <v>101</v>
      </c>
      <c r="B375" s="26" t="s">
        <v>101</v>
      </c>
      <c r="C375" s="26" t="s">
        <v>27</v>
      </c>
      <c r="D375" s="26" t="s">
        <v>78</v>
      </c>
      <c r="E375" s="26" t="s">
        <v>54</v>
      </c>
      <c r="F375" s="26"/>
    </row>
    <row r="376" spans="1:10" ht="14.1" customHeight="1" thickBot="1" x14ac:dyDescent="0.3">
      <c r="A376" s="43" t="s">
        <v>30</v>
      </c>
      <c r="B376" s="27" t="s">
        <v>31</v>
      </c>
      <c r="C376" s="28">
        <v>44576</v>
      </c>
      <c r="D376" s="43" t="s">
        <v>32</v>
      </c>
      <c r="E376" s="29" t="s">
        <v>33</v>
      </c>
      <c r="F376" s="30" t="s">
        <v>34</v>
      </c>
    </row>
    <row r="377" spans="1:10" ht="14.1" customHeight="1" thickBot="1" x14ac:dyDescent="0.3">
      <c r="A377" s="44"/>
      <c r="B377" s="27" t="s">
        <v>35</v>
      </c>
      <c r="C377" s="31">
        <f>IF(C376="","",IF(AND(MONTH(C376)&gt;=1,MONTH(C376)&lt;=3),1,IF(AND(MONTH(C376)&gt;=4,MONTH(C376)&lt;=6),2,IF(AND(MONTH(C376)&gt;=7,MONTH(C376)&lt;=9),3,4))))</f>
        <v>1</v>
      </c>
      <c r="D377" s="44"/>
      <c r="E377" s="29" t="s">
        <v>36</v>
      </c>
      <c r="F377" s="30"/>
    </row>
    <row r="378" spans="1:10" ht="14.1" customHeight="1" thickBot="1" x14ac:dyDescent="0.3">
      <c r="A378" s="44"/>
      <c r="B378" s="27" t="s">
        <v>37</v>
      </c>
      <c r="C378" s="28">
        <v>44651</v>
      </c>
      <c r="D378" s="44"/>
      <c r="E378" s="29" t="s">
        <v>38</v>
      </c>
      <c r="F378" s="30"/>
    </row>
    <row r="379" spans="1:10" ht="14.1" customHeight="1" thickBot="1" x14ac:dyDescent="0.3">
      <c r="A379" s="44"/>
      <c r="B379" s="27" t="s">
        <v>35</v>
      </c>
      <c r="C379" s="31">
        <f>IF(C378="","",IF(AND(MONTH(C378)&gt;=1,MONTH(C378)&lt;=3),1,IF(AND(MONTH(C378)&gt;=4,MONTH(C378)&lt;=6),2,IF(AND(MONTH(C378)&gt;=7,MONTH(C378)&lt;=9),3,4))))</f>
        <v>1</v>
      </c>
      <c r="D379" s="44"/>
      <c r="E379" s="29" t="s">
        <v>39</v>
      </c>
      <c r="F379" s="30"/>
    </row>
    <row r="380" spans="1:10" ht="14.1" customHeight="1" x14ac:dyDescent="0.25"/>
    <row r="381" spans="1:10" ht="14.1" customHeight="1" thickBot="1" x14ac:dyDescent="0.3">
      <c r="A381" s="32" t="s">
        <v>40</v>
      </c>
      <c r="B381" s="32" t="s">
        <v>41</v>
      </c>
      <c r="C381" s="32" t="s">
        <v>42</v>
      </c>
      <c r="D381" s="32" t="s">
        <v>43</v>
      </c>
      <c r="E381" s="32" t="s">
        <v>44</v>
      </c>
      <c r="F381" s="32" t="s">
        <v>45</v>
      </c>
    </row>
    <row r="382" spans="1:10" ht="14.1" customHeight="1" x14ac:dyDescent="0.25">
      <c r="A382" s="33" t="s">
        <v>102</v>
      </c>
      <c r="B382" s="34" t="str">
        <f t="shared" ref="B382:B390" ca="1" si="4">IFERROR(INDEX(UNSPSCDes,MATCH(INDIRECT(ADDRESS(ROW(),COLUMN()-1,4)),UNSPSCCode,0)),IF(INDIRECT(ADDRESS(ROW(),COLUMN()-1,4))="44103103","Tóner para impresoras o fax",""))</f>
        <v>Tóner para impresoras o fax</v>
      </c>
      <c r="C382" s="35" t="str">
        <f>IFERROR(VLOOKUP("UD",'[1]Informacion '!P:Q,2,FALSE),"")</f>
        <v>Unidad</v>
      </c>
      <c r="D382" s="33">
        <v>30</v>
      </c>
      <c r="E382" s="36">
        <v>8600</v>
      </c>
      <c r="F382" s="37">
        <f t="shared" ref="F382:F390" ca="1" si="5">INDIRECT(ADDRESS(ROW(),COLUMN()-2,4))*INDIRECT(ADDRESS(ROW(),COLUMN()-1,4))</f>
        <v>258000</v>
      </c>
    </row>
    <row r="383" spans="1:10" ht="14.1" customHeight="1" x14ac:dyDescent="0.25">
      <c r="A383" s="33" t="s">
        <v>102</v>
      </c>
      <c r="B383" s="34" t="str">
        <f t="shared" ca="1" si="4"/>
        <v>Tóner para impresoras o fax</v>
      </c>
      <c r="C383" s="35" t="str">
        <f>IFERROR(VLOOKUP("UD",'[1]Informacion '!P:Q,2,FALSE),"")</f>
        <v>Unidad</v>
      </c>
      <c r="D383" s="33">
        <v>30</v>
      </c>
      <c r="E383" s="36">
        <v>5800</v>
      </c>
      <c r="F383" s="37">
        <f t="shared" ca="1" si="5"/>
        <v>174000</v>
      </c>
    </row>
    <row r="384" spans="1:10" ht="14.1" customHeight="1" x14ac:dyDescent="0.25">
      <c r="A384" s="33" t="s">
        <v>102</v>
      </c>
      <c r="B384" s="34" t="str">
        <f t="shared" ca="1" si="4"/>
        <v>Tóner para impresoras o fax</v>
      </c>
      <c r="C384" s="35" t="str">
        <f>IFERROR(VLOOKUP("UD",'[1]Informacion '!P:Q,2,FALSE),"")</f>
        <v>Unidad</v>
      </c>
      <c r="D384" s="33">
        <v>25</v>
      </c>
      <c r="E384" s="36">
        <v>9000</v>
      </c>
      <c r="F384" s="37">
        <f t="shared" ca="1" si="5"/>
        <v>225000</v>
      </c>
    </row>
    <row r="385" spans="1:10" ht="14.1" customHeight="1" x14ac:dyDescent="0.25">
      <c r="A385" s="33" t="s">
        <v>102</v>
      </c>
      <c r="B385" s="34" t="str">
        <f t="shared" ca="1" si="4"/>
        <v>Tóner para impresoras o fax</v>
      </c>
      <c r="C385" s="35" t="str">
        <f>IFERROR(VLOOKUP("UD",'[1]Informacion '!P:Q,2,FALSE),"")</f>
        <v>Unidad</v>
      </c>
      <c r="D385" s="33">
        <v>20</v>
      </c>
      <c r="E385" s="36">
        <v>11500</v>
      </c>
      <c r="F385" s="37">
        <f t="shared" ca="1" si="5"/>
        <v>230000</v>
      </c>
    </row>
    <row r="386" spans="1:10" ht="14.1" customHeight="1" x14ac:dyDescent="0.25">
      <c r="A386" s="33" t="s">
        <v>102</v>
      </c>
      <c r="B386" s="34" t="str">
        <f t="shared" ca="1" si="4"/>
        <v>Tóner para impresoras o fax</v>
      </c>
      <c r="C386" s="35" t="str">
        <f>IFERROR(VLOOKUP("UD",'[1]Informacion '!P:Q,2,FALSE),"")</f>
        <v>Unidad</v>
      </c>
      <c r="D386" s="33">
        <v>25</v>
      </c>
      <c r="E386" s="36">
        <v>6000</v>
      </c>
      <c r="F386" s="37">
        <f t="shared" ca="1" si="5"/>
        <v>150000</v>
      </c>
    </row>
    <row r="387" spans="1:10" ht="14.1" customHeight="1" x14ac:dyDescent="0.25">
      <c r="A387" s="33" t="s">
        <v>102</v>
      </c>
      <c r="B387" s="34" t="str">
        <f t="shared" ca="1" si="4"/>
        <v>Tóner para impresoras o fax</v>
      </c>
      <c r="C387" s="35" t="str">
        <f>IFERROR(VLOOKUP("UD",'[1]Informacion '!P:Q,2,FALSE),"")</f>
        <v>Unidad</v>
      </c>
      <c r="D387" s="33">
        <v>8</v>
      </c>
      <c r="E387" s="36">
        <v>4800</v>
      </c>
      <c r="F387" s="37">
        <f t="shared" ca="1" si="5"/>
        <v>38400</v>
      </c>
    </row>
    <row r="388" spans="1:10" ht="14.1" customHeight="1" x14ac:dyDescent="0.25">
      <c r="A388" s="33" t="s">
        <v>102</v>
      </c>
      <c r="B388" s="34" t="str">
        <f t="shared" ca="1" si="4"/>
        <v>Tóner para impresoras o fax</v>
      </c>
      <c r="C388" s="35" t="str">
        <f>IFERROR(VLOOKUP("UD",'[1]Informacion '!P:Q,2,FALSE),"")</f>
        <v>Unidad</v>
      </c>
      <c r="D388" s="33">
        <v>8</v>
      </c>
      <c r="E388" s="36">
        <v>5900</v>
      </c>
      <c r="F388" s="37">
        <f t="shared" ca="1" si="5"/>
        <v>47200</v>
      </c>
    </row>
    <row r="389" spans="1:10" ht="14.1" customHeight="1" x14ac:dyDescent="0.25">
      <c r="A389" s="33" t="s">
        <v>102</v>
      </c>
      <c r="B389" s="34" t="str">
        <f t="shared" ca="1" si="4"/>
        <v>Tóner para impresoras o fax</v>
      </c>
      <c r="C389" s="35" t="str">
        <f>IFERROR(VLOOKUP("UD",'[1]Informacion '!P:Q,2,FALSE),"")</f>
        <v>Unidad</v>
      </c>
      <c r="D389" s="33">
        <v>8</v>
      </c>
      <c r="E389" s="36">
        <v>5000</v>
      </c>
      <c r="F389" s="37">
        <f t="shared" ca="1" si="5"/>
        <v>40000</v>
      </c>
    </row>
    <row r="390" spans="1:10" ht="14.1" customHeight="1" x14ac:dyDescent="0.25">
      <c r="A390" s="33" t="s">
        <v>102</v>
      </c>
      <c r="B390" s="34" t="str">
        <f t="shared" ca="1" si="4"/>
        <v>Tóner para impresoras o fax</v>
      </c>
      <c r="C390" s="35" t="str">
        <f>IFERROR(VLOOKUP("UD",'[1]Informacion '!P:Q,2,FALSE),"")</f>
        <v>Unidad</v>
      </c>
      <c r="D390" s="33">
        <v>8</v>
      </c>
      <c r="E390" s="36">
        <v>10000</v>
      </c>
      <c r="F390" s="37">
        <f t="shared" ca="1" si="5"/>
        <v>80000</v>
      </c>
    </row>
    <row r="391" spans="1:10" ht="14.1" customHeight="1" x14ac:dyDescent="0.25">
      <c r="E391" s="38" t="s">
        <v>48</v>
      </c>
      <c r="F391" s="39">
        <f ca="1">SUM(Table32[MONTO TOTAL ESTIMADO])</f>
        <v>1242600</v>
      </c>
      <c r="H391" s="25" t="str">
        <f>C375</f>
        <v>Bienes</v>
      </c>
      <c r="I391" s="25" t="str">
        <f>E375</f>
        <v>Sí</v>
      </c>
      <c r="J391" s="25" t="str">
        <f>D375</f>
        <v>Comparacion de Precios</v>
      </c>
    </row>
    <row r="392" spans="1:10" ht="14.1" customHeight="1" x14ac:dyDescent="0.25"/>
    <row r="393" spans="1:10" ht="34.15" customHeight="1" thickBot="1" x14ac:dyDescent="0.3">
      <c r="A393" s="24" t="s">
        <v>19</v>
      </c>
      <c r="B393" s="24" t="s">
        <v>20</v>
      </c>
      <c r="C393" s="24" t="s">
        <v>21</v>
      </c>
      <c r="D393" s="24" t="s">
        <v>22</v>
      </c>
      <c r="E393" s="24" t="s">
        <v>23</v>
      </c>
      <c r="F393" s="24" t="s">
        <v>24</v>
      </c>
    </row>
    <row r="394" spans="1:10" ht="14.1" customHeight="1" thickBot="1" x14ac:dyDescent="0.3">
      <c r="A394" s="26" t="s">
        <v>103</v>
      </c>
      <c r="B394" s="26" t="s">
        <v>104</v>
      </c>
      <c r="C394" s="26" t="s">
        <v>27</v>
      </c>
      <c r="D394" s="26" t="s">
        <v>78</v>
      </c>
      <c r="E394" s="26" t="s">
        <v>54</v>
      </c>
      <c r="F394" s="26"/>
    </row>
    <row r="395" spans="1:10" ht="14.1" customHeight="1" thickBot="1" x14ac:dyDescent="0.3">
      <c r="A395" s="43" t="s">
        <v>30</v>
      </c>
      <c r="B395" s="27" t="s">
        <v>31</v>
      </c>
      <c r="C395" s="28">
        <v>44652</v>
      </c>
      <c r="D395" s="43" t="s">
        <v>32</v>
      </c>
      <c r="E395" s="29" t="s">
        <v>33</v>
      </c>
      <c r="F395" s="30" t="s">
        <v>34</v>
      </c>
    </row>
    <row r="396" spans="1:10" ht="14.1" customHeight="1" thickBot="1" x14ac:dyDescent="0.3">
      <c r="A396" s="44"/>
      <c r="B396" s="27" t="s">
        <v>35</v>
      </c>
      <c r="C396" s="31">
        <f>IF(C395="","",IF(AND(MONTH(C395)&gt;=1,MONTH(C395)&lt;=3),1,IF(AND(MONTH(C395)&gt;=4,MONTH(C395)&lt;=6),2,IF(AND(MONTH(C395)&gt;=7,MONTH(C395)&lt;=9),3,4))))</f>
        <v>2</v>
      </c>
      <c r="D396" s="44"/>
      <c r="E396" s="29" t="s">
        <v>36</v>
      </c>
      <c r="F396" s="30"/>
    </row>
    <row r="397" spans="1:10" ht="14.1" customHeight="1" thickBot="1" x14ac:dyDescent="0.3">
      <c r="A397" s="44"/>
      <c r="B397" s="27" t="s">
        <v>37</v>
      </c>
      <c r="C397" s="28">
        <v>44742</v>
      </c>
      <c r="D397" s="44"/>
      <c r="E397" s="29" t="s">
        <v>38</v>
      </c>
      <c r="F397" s="30"/>
    </row>
    <row r="398" spans="1:10" ht="14.1" customHeight="1" thickBot="1" x14ac:dyDescent="0.3">
      <c r="A398" s="44"/>
      <c r="B398" s="27" t="s">
        <v>35</v>
      </c>
      <c r="C398" s="31">
        <f>IF(C397="","",IF(AND(MONTH(C397)&gt;=1,MONTH(C397)&lt;=3),1,IF(AND(MONTH(C397)&gt;=4,MONTH(C397)&lt;=6),2,IF(AND(MONTH(C397)&gt;=7,MONTH(C397)&lt;=9),3,4))))</f>
        <v>2</v>
      </c>
      <c r="D398" s="44"/>
      <c r="E398" s="29" t="s">
        <v>39</v>
      </c>
      <c r="F398" s="30"/>
    </row>
    <row r="399" spans="1:10" ht="14.1" customHeight="1" x14ac:dyDescent="0.25"/>
    <row r="400" spans="1:10" ht="14.1" customHeight="1" thickBot="1" x14ac:dyDescent="0.3">
      <c r="A400" s="32" t="s">
        <v>40</v>
      </c>
      <c r="B400" s="32" t="s">
        <v>41</v>
      </c>
      <c r="C400" s="32" t="s">
        <v>42</v>
      </c>
      <c r="D400" s="32" t="s">
        <v>43</v>
      </c>
      <c r="E400" s="32" t="s">
        <v>44</v>
      </c>
      <c r="F400" s="32" t="s">
        <v>45</v>
      </c>
    </row>
    <row r="401" spans="1:10" ht="14.1" customHeight="1" x14ac:dyDescent="0.25">
      <c r="A401" s="33" t="s">
        <v>102</v>
      </c>
      <c r="B401" s="34" t="str">
        <f t="shared" ref="B401:B409" ca="1" si="6">IFERROR(INDEX(UNSPSCDes,MATCH(INDIRECT(ADDRESS(ROW(),COLUMN()-1,4)),UNSPSCCode,0)),IF(INDIRECT(ADDRESS(ROW(),COLUMN()-1,4))="44103103","Tóner para impresoras o fax",""))</f>
        <v>Tóner para impresoras o fax</v>
      </c>
      <c r="C401" s="35" t="str">
        <f>IFERROR(VLOOKUP("UD",'[1]Informacion '!P:Q,2,FALSE),"")</f>
        <v>Unidad</v>
      </c>
      <c r="D401" s="33">
        <v>30</v>
      </c>
      <c r="E401" s="36">
        <v>8600</v>
      </c>
      <c r="F401" s="37">
        <f t="shared" ref="F401:F409" ca="1" si="7">INDIRECT(ADDRESS(ROW(),COLUMN()-2,4))*INDIRECT(ADDRESS(ROW(),COLUMN()-1,4))</f>
        <v>258000</v>
      </c>
    </row>
    <row r="402" spans="1:10" ht="14.1" customHeight="1" x14ac:dyDescent="0.25">
      <c r="A402" s="33" t="s">
        <v>102</v>
      </c>
      <c r="B402" s="34" t="str">
        <f t="shared" ca="1" si="6"/>
        <v>Tóner para impresoras o fax</v>
      </c>
      <c r="C402" s="35" t="str">
        <f>IFERROR(VLOOKUP("UD",'[1]Informacion '!P:Q,2,FALSE),"")</f>
        <v>Unidad</v>
      </c>
      <c r="D402" s="33">
        <v>20</v>
      </c>
      <c r="E402" s="36">
        <v>5800</v>
      </c>
      <c r="F402" s="37">
        <f t="shared" ca="1" si="7"/>
        <v>116000</v>
      </c>
    </row>
    <row r="403" spans="1:10" ht="14.1" customHeight="1" x14ac:dyDescent="0.25">
      <c r="A403" s="33" t="s">
        <v>102</v>
      </c>
      <c r="B403" s="34" t="str">
        <f t="shared" ca="1" si="6"/>
        <v>Tóner para impresoras o fax</v>
      </c>
      <c r="C403" s="35" t="str">
        <f>IFERROR(VLOOKUP("UD",'[1]Informacion '!P:Q,2,FALSE),"")</f>
        <v>Unidad</v>
      </c>
      <c r="D403" s="33">
        <v>25</v>
      </c>
      <c r="E403" s="36">
        <v>9000</v>
      </c>
      <c r="F403" s="37">
        <f t="shared" ca="1" si="7"/>
        <v>225000</v>
      </c>
    </row>
    <row r="404" spans="1:10" ht="14.1" customHeight="1" x14ac:dyDescent="0.25">
      <c r="A404" s="33" t="s">
        <v>102</v>
      </c>
      <c r="B404" s="34" t="str">
        <f t="shared" ca="1" si="6"/>
        <v>Tóner para impresoras o fax</v>
      </c>
      <c r="C404" s="35" t="str">
        <f>IFERROR(VLOOKUP("UD",'[1]Informacion '!P:Q,2,FALSE),"")</f>
        <v>Unidad</v>
      </c>
      <c r="D404" s="33">
        <v>20</v>
      </c>
      <c r="E404" s="36">
        <v>11500</v>
      </c>
      <c r="F404" s="37">
        <f t="shared" ca="1" si="7"/>
        <v>230000</v>
      </c>
    </row>
    <row r="405" spans="1:10" ht="14.1" customHeight="1" x14ac:dyDescent="0.25">
      <c r="A405" s="33" t="s">
        <v>102</v>
      </c>
      <c r="B405" s="34" t="str">
        <f t="shared" ca="1" si="6"/>
        <v>Tóner para impresoras o fax</v>
      </c>
      <c r="C405" s="35" t="str">
        <f>IFERROR(VLOOKUP("UD",'[1]Informacion '!P:Q,2,FALSE),"")</f>
        <v>Unidad</v>
      </c>
      <c r="D405" s="33">
        <v>30</v>
      </c>
      <c r="E405" s="36">
        <v>6000</v>
      </c>
      <c r="F405" s="37">
        <f t="shared" ca="1" si="7"/>
        <v>180000</v>
      </c>
    </row>
    <row r="406" spans="1:10" ht="14.1" customHeight="1" x14ac:dyDescent="0.25">
      <c r="A406" s="33" t="s">
        <v>102</v>
      </c>
      <c r="B406" s="34" t="str">
        <f t="shared" ca="1" si="6"/>
        <v>Tóner para impresoras o fax</v>
      </c>
      <c r="C406" s="35" t="str">
        <f>IFERROR(VLOOKUP("UD",'[1]Informacion '!P:Q,2,FALSE),"")</f>
        <v>Unidad</v>
      </c>
      <c r="D406" s="33">
        <v>8</v>
      </c>
      <c r="E406" s="36">
        <v>4800</v>
      </c>
      <c r="F406" s="37">
        <f t="shared" ca="1" si="7"/>
        <v>38400</v>
      </c>
    </row>
    <row r="407" spans="1:10" ht="14.1" customHeight="1" x14ac:dyDescent="0.25">
      <c r="A407" s="33" t="s">
        <v>102</v>
      </c>
      <c r="B407" s="34" t="str">
        <f t="shared" ca="1" si="6"/>
        <v>Tóner para impresoras o fax</v>
      </c>
      <c r="C407" s="35" t="str">
        <f>IFERROR(VLOOKUP("UD",'[1]Informacion '!P:Q,2,FALSE),"")</f>
        <v>Unidad</v>
      </c>
      <c r="D407" s="33">
        <v>8</v>
      </c>
      <c r="E407" s="36">
        <v>5900</v>
      </c>
      <c r="F407" s="37">
        <f t="shared" ca="1" si="7"/>
        <v>47200</v>
      </c>
    </row>
    <row r="408" spans="1:10" ht="14.1" customHeight="1" x14ac:dyDescent="0.25">
      <c r="A408" s="33" t="s">
        <v>102</v>
      </c>
      <c r="B408" s="34" t="str">
        <f t="shared" ca="1" si="6"/>
        <v>Tóner para impresoras o fax</v>
      </c>
      <c r="C408" s="35" t="str">
        <f>IFERROR(VLOOKUP("UD",'[1]Informacion '!P:Q,2,FALSE),"")</f>
        <v>Unidad</v>
      </c>
      <c r="D408" s="33">
        <v>8</v>
      </c>
      <c r="E408" s="36">
        <v>5000</v>
      </c>
      <c r="F408" s="37">
        <f t="shared" ca="1" si="7"/>
        <v>40000</v>
      </c>
    </row>
    <row r="409" spans="1:10" ht="14.1" customHeight="1" x14ac:dyDescent="0.25">
      <c r="A409" s="33" t="s">
        <v>102</v>
      </c>
      <c r="B409" s="34" t="str">
        <f t="shared" ca="1" si="6"/>
        <v>Tóner para impresoras o fax</v>
      </c>
      <c r="C409" s="35" t="str">
        <f>IFERROR(VLOOKUP("UD",'[1]Informacion '!P:Q,2,FALSE),"")</f>
        <v>Unidad</v>
      </c>
      <c r="D409" s="33">
        <v>8</v>
      </c>
      <c r="E409" s="36">
        <v>10000</v>
      </c>
      <c r="F409" s="37">
        <f t="shared" ca="1" si="7"/>
        <v>80000</v>
      </c>
    </row>
    <row r="410" spans="1:10" ht="14.1" customHeight="1" x14ac:dyDescent="0.25">
      <c r="E410" s="38" t="s">
        <v>48</v>
      </c>
      <c r="F410" s="39">
        <f ca="1">SUM(Table33[MONTO TOTAL ESTIMADO])</f>
        <v>1214600</v>
      </c>
      <c r="H410" s="25" t="str">
        <f>C394</f>
        <v>Bienes</v>
      </c>
      <c r="I410" s="25" t="str">
        <f>E394</f>
        <v>Sí</v>
      </c>
      <c r="J410" s="25" t="str">
        <f>D394</f>
        <v>Comparacion de Precios</v>
      </c>
    </row>
    <row r="411" spans="1:10" ht="14.1" customHeight="1" x14ac:dyDescent="0.25"/>
    <row r="412" spans="1:10" ht="34.15" customHeight="1" thickBot="1" x14ac:dyDescent="0.3">
      <c r="A412" s="24" t="s">
        <v>19</v>
      </c>
      <c r="B412" s="24" t="s">
        <v>20</v>
      </c>
      <c r="C412" s="24" t="s">
        <v>21</v>
      </c>
      <c r="D412" s="24" t="s">
        <v>22</v>
      </c>
      <c r="E412" s="24" t="s">
        <v>23</v>
      </c>
      <c r="F412" s="24" t="s">
        <v>24</v>
      </c>
    </row>
    <row r="413" spans="1:10" ht="14.1" customHeight="1" thickBot="1" x14ac:dyDescent="0.3">
      <c r="A413" s="26" t="s">
        <v>103</v>
      </c>
      <c r="B413" s="26" t="s">
        <v>104</v>
      </c>
      <c r="C413" s="26" t="s">
        <v>27</v>
      </c>
      <c r="D413" s="26" t="s">
        <v>78</v>
      </c>
      <c r="E413" s="26" t="s">
        <v>54</v>
      </c>
      <c r="F413" s="26"/>
    </row>
    <row r="414" spans="1:10" ht="14.1" customHeight="1" thickBot="1" x14ac:dyDescent="0.3">
      <c r="A414" s="43" t="s">
        <v>30</v>
      </c>
      <c r="B414" s="27" t="s">
        <v>31</v>
      </c>
      <c r="C414" s="28">
        <v>44749</v>
      </c>
      <c r="D414" s="43" t="s">
        <v>32</v>
      </c>
      <c r="E414" s="29" t="s">
        <v>33</v>
      </c>
      <c r="F414" s="30" t="s">
        <v>34</v>
      </c>
    </row>
    <row r="415" spans="1:10" ht="14.1" customHeight="1" thickBot="1" x14ac:dyDescent="0.3">
      <c r="A415" s="44"/>
      <c r="B415" s="27" t="s">
        <v>35</v>
      </c>
      <c r="C415" s="31">
        <f>IF(C414="","",IF(AND(MONTH(C414)&gt;=1,MONTH(C414)&lt;=3),1,IF(AND(MONTH(C414)&gt;=4,MONTH(C414)&lt;=6),2,IF(AND(MONTH(C414)&gt;=7,MONTH(C414)&lt;=9),3,4))))</f>
        <v>3</v>
      </c>
      <c r="D415" s="44"/>
      <c r="E415" s="29" t="s">
        <v>36</v>
      </c>
      <c r="F415" s="30"/>
    </row>
    <row r="416" spans="1:10" ht="14.1" customHeight="1" thickBot="1" x14ac:dyDescent="0.3">
      <c r="A416" s="44"/>
      <c r="B416" s="27" t="s">
        <v>37</v>
      </c>
      <c r="C416" s="28">
        <v>44834</v>
      </c>
      <c r="D416" s="44"/>
      <c r="E416" s="29" t="s">
        <v>38</v>
      </c>
      <c r="F416" s="30"/>
    </row>
    <row r="417" spans="1:10" ht="14.1" customHeight="1" thickBot="1" x14ac:dyDescent="0.3">
      <c r="A417" s="44"/>
      <c r="B417" s="27" t="s">
        <v>35</v>
      </c>
      <c r="C417" s="31">
        <f>IF(C416="","",IF(AND(MONTH(C416)&gt;=1,MONTH(C416)&lt;=3),1,IF(AND(MONTH(C416)&gt;=4,MONTH(C416)&lt;=6),2,IF(AND(MONTH(C416)&gt;=7,MONTH(C416)&lt;=9),3,4))))</f>
        <v>3</v>
      </c>
      <c r="D417" s="44"/>
      <c r="E417" s="29" t="s">
        <v>39</v>
      </c>
      <c r="F417" s="30"/>
    </row>
    <row r="418" spans="1:10" ht="14.1" customHeight="1" x14ac:dyDescent="0.25"/>
    <row r="419" spans="1:10" ht="14.1" customHeight="1" thickBot="1" x14ac:dyDescent="0.3">
      <c r="A419" s="32" t="s">
        <v>40</v>
      </c>
      <c r="B419" s="32" t="s">
        <v>41</v>
      </c>
      <c r="C419" s="32" t="s">
        <v>42</v>
      </c>
      <c r="D419" s="32" t="s">
        <v>43</v>
      </c>
      <c r="E419" s="32" t="s">
        <v>44</v>
      </c>
      <c r="F419" s="32" t="s">
        <v>45</v>
      </c>
    </row>
    <row r="420" spans="1:10" ht="14.1" customHeight="1" x14ac:dyDescent="0.25">
      <c r="A420" s="33" t="s">
        <v>102</v>
      </c>
      <c r="B420" s="34" t="str">
        <f t="shared" ref="B420:B428" ca="1" si="8">IFERROR(INDEX(UNSPSCDes,MATCH(INDIRECT(ADDRESS(ROW(),COLUMN()-1,4)),UNSPSCCode,0)),IF(INDIRECT(ADDRESS(ROW(),COLUMN()-1,4))="44103103","Tóner para impresoras o fax",""))</f>
        <v>Tóner para impresoras o fax</v>
      </c>
      <c r="C420" s="35" t="str">
        <f>IFERROR(VLOOKUP("UD",'[1]Informacion '!P:Q,2,FALSE),"")</f>
        <v>Unidad</v>
      </c>
      <c r="D420" s="33">
        <v>30</v>
      </c>
      <c r="E420" s="36">
        <v>8600</v>
      </c>
      <c r="F420" s="37">
        <f t="shared" ref="F420:F428" ca="1" si="9">INDIRECT(ADDRESS(ROW(),COLUMN()-2,4))*INDIRECT(ADDRESS(ROW(),COLUMN()-1,4))</f>
        <v>258000</v>
      </c>
    </row>
    <row r="421" spans="1:10" ht="14.1" customHeight="1" x14ac:dyDescent="0.25">
      <c r="A421" s="33" t="s">
        <v>102</v>
      </c>
      <c r="B421" s="34" t="str">
        <f t="shared" ca="1" si="8"/>
        <v>Tóner para impresoras o fax</v>
      </c>
      <c r="C421" s="35" t="str">
        <f>IFERROR(VLOOKUP("UD",'[1]Informacion '!P:Q,2,FALSE),"")</f>
        <v>Unidad</v>
      </c>
      <c r="D421" s="33">
        <v>20</v>
      </c>
      <c r="E421" s="36">
        <v>5800</v>
      </c>
      <c r="F421" s="37">
        <f t="shared" ca="1" si="9"/>
        <v>116000</v>
      </c>
    </row>
    <row r="422" spans="1:10" ht="14.1" customHeight="1" x14ac:dyDescent="0.25">
      <c r="A422" s="33" t="s">
        <v>102</v>
      </c>
      <c r="B422" s="34" t="str">
        <f t="shared" ca="1" si="8"/>
        <v>Tóner para impresoras o fax</v>
      </c>
      <c r="C422" s="35" t="str">
        <f>IFERROR(VLOOKUP("UD",'[1]Informacion '!P:Q,2,FALSE),"")</f>
        <v>Unidad</v>
      </c>
      <c r="D422" s="33">
        <v>25</v>
      </c>
      <c r="E422" s="36">
        <v>9000</v>
      </c>
      <c r="F422" s="37">
        <f t="shared" ca="1" si="9"/>
        <v>225000</v>
      </c>
    </row>
    <row r="423" spans="1:10" ht="14.1" customHeight="1" x14ac:dyDescent="0.25">
      <c r="A423" s="33" t="s">
        <v>102</v>
      </c>
      <c r="B423" s="34" t="str">
        <f t="shared" ca="1" si="8"/>
        <v>Tóner para impresoras o fax</v>
      </c>
      <c r="C423" s="35" t="str">
        <f>IFERROR(VLOOKUP("UD",'[1]Informacion '!P:Q,2,FALSE),"")</f>
        <v>Unidad</v>
      </c>
      <c r="D423" s="33">
        <v>20</v>
      </c>
      <c r="E423" s="36">
        <v>11500</v>
      </c>
      <c r="F423" s="37">
        <f t="shared" ca="1" si="9"/>
        <v>230000</v>
      </c>
    </row>
    <row r="424" spans="1:10" ht="14.1" customHeight="1" x14ac:dyDescent="0.25">
      <c r="A424" s="33" t="s">
        <v>102</v>
      </c>
      <c r="B424" s="34" t="str">
        <f t="shared" ca="1" si="8"/>
        <v>Tóner para impresoras o fax</v>
      </c>
      <c r="C424" s="35" t="str">
        <f>IFERROR(VLOOKUP("UD",'[1]Informacion '!P:Q,2,FALSE),"")</f>
        <v>Unidad</v>
      </c>
      <c r="D424" s="33">
        <v>30</v>
      </c>
      <c r="E424" s="36">
        <v>6000</v>
      </c>
      <c r="F424" s="37">
        <f t="shared" ca="1" si="9"/>
        <v>180000</v>
      </c>
    </row>
    <row r="425" spans="1:10" ht="14.1" customHeight="1" x14ac:dyDescent="0.25">
      <c r="A425" s="33" t="s">
        <v>102</v>
      </c>
      <c r="B425" s="34" t="str">
        <f t="shared" ca="1" si="8"/>
        <v>Tóner para impresoras o fax</v>
      </c>
      <c r="C425" s="35" t="str">
        <f>IFERROR(VLOOKUP("UD",'[1]Informacion '!P:Q,2,FALSE),"")</f>
        <v>Unidad</v>
      </c>
      <c r="D425" s="33">
        <v>8</v>
      </c>
      <c r="E425" s="36">
        <v>4800</v>
      </c>
      <c r="F425" s="37">
        <f t="shared" ca="1" si="9"/>
        <v>38400</v>
      </c>
    </row>
    <row r="426" spans="1:10" ht="14.1" customHeight="1" x14ac:dyDescent="0.25">
      <c r="A426" s="33" t="s">
        <v>102</v>
      </c>
      <c r="B426" s="34" t="str">
        <f t="shared" ca="1" si="8"/>
        <v>Tóner para impresoras o fax</v>
      </c>
      <c r="C426" s="35" t="str">
        <f>IFERROR(VLOOKUP("UD",'[1]Informacion '!P:Q,2,FALSE),"")</f>
        <v>Unidad</v>
      </c>
      <c r="D426" s="33">
        <v>8</v>
      </c>
      <c r="E426" s="36">
        <v>5900</v>
      </c>
      <c r="F426" s="37">
        <f t="shared" ca="1" si="9"/>
        <v>47200</v>
      </c>
    </row>
    <row r="427" spans="1:10" ht="14.1" customHeight="1" x14ac:dyDescent="0.25">
      <c r="A427" s="33" t="s">
        <v>102</v>
      </c>
      <c r="B427" s="34" t="str">
        <f t="shared" ca="1" si="8"/>
        <v>Tóner para impresoras o fax</v>
      </c>
      <c r="C427" s="35" t="str">
        <f>IFERROR(VLOOKUP("UD",'[1]Informacion '!P:Q,2,FALSE),"")</f>
        <v>Unidad</v>
      </c>
      <c r="D427" s="33">
        <v>8</v>
      </c>
      <c r="E427" s="36">
        <v>5000</v>
      </c>
      <c r="F427" s="37">
        <f t="shared" ca="1" si="9"/>
        <v>40000</v>
      </c>
    </row>
    <row r="428" spans="1:10" ht="14.1" customHeight="1" x14ac:dyDescent="0.25">
      <c r="A428" s="33" t="s">
        <v>102</v>
      </c>
      <c r="B428" s="34" t="str">
        <f t="shared" ca="1" si="8"/>
        <v>Tóner para impresoras o fax</v>
      </c>
      <c r="C428" s="35" t="str">
        <f>IFERROR(VLOOKUP("UD",'[1]Informacion '!P:Q,2,FALSE),"")</f>
        <v>Unidad</v>
      </c>
      <c r="D428" s="33">
        <v>8</v>
      </c>
      <c r="E428" s="36">
        <v>10000</v>
      </c>
      <c r="F428" s="37">
        <f t="shared" ca="1" si="9"/>
        <v>80000</v>
      </c>
    </row>
    <row r="429" spans="1:10" ht="14.1" customHeight="1" x14ac:dyDescent="0.25">
      <c r="E429" s="38" t="s">
        <v>48</v>
      </c>
      <c r="F429" s="39">
        <f ca="1">SUM(Table34[MONTO TOTAL ESTIMADO])</f>
        <v>1214600</v>
      </c>
      <c r="H429" s="25" t="str">
        <f>C413</f>
        <v>Bienes</v>
      </c>
      <c r="I429" s="25" t="str">
        <f>E413</f>
        <v>Sí</v>
      </c>
      <c r="J429" s="25" t="str">
        <f>D413</f>
        <v>Comparacion de Precios</v>
      </c>
    </row>
    <row r="430" spans="1:10" ht="14.1" customHeight="1" x14ac:dyDescent="0.25"/>
    <row r="431" spans="1:10" ht="34.15" customHeight="1" thickBot="1" x14ac:dyDescent="0.3">
      <c r="A431" s="24" t="s">
        <v>19</v>
      </c>
      <c r="B431" s="24" t="s">
        <v>20</v>
      </c>
      <c r="C431" s="24" t="s">
        <v>21</v>
      </c>
      <c r="D431" s="24" t="s">
        <v>22</v>
      </c>
      <c r="E431" s="24" t="s">
        <v>23</v>
      </c>
      <c r="F431" s="24" t="s">
        <v>24</v>
      </c>
    </row>
    <row r="432" spans="1:10" ht="14.1" customHeight="1" thickBot="1" x14ac:dyDescent="0.3">
      <c r="A432" s="26" t="s">
        <v>105</v>
      </c>
      <c r="B432" s="26" t="s">
        <v>104</v>
      </c>
      <c r="C432" s="26" t="s">
        <v>27</v>
      </c>
      <c r="D432" s="26" t="s">
        <v>78</v>
      </c>
      <c r="E432" s="26" t="s">
        <v>54</v>
      </c>
      <c r="F432" s="26"/>
    </row>
    <row r="433" spans="1:10" ht="14.1" customHeight="1" thickBot="1" x14ac:dyDescent="0.3">
      <c r="A433" s="43" t="s">
        <v>30</v>
      </c>
      <c r="B433" s="27" t="s">
        <v>31</v>
      </c>
      <c r="C433" s="28">
        <v>44837</v>
      </c>
      <c r="D433" s="43" t="s">
        <v>32</v>
      </c>
      <c r="E433" s="29" t="s">
        <v>33</v>
      </c>
      <c r="F433" s="30" t="s">
        <v>34</v>
      </c>
    </row>
    <row r="434" spans="1:10" ht="14.1" customHeight="1" thickBot="1" x14ac:dyDescent="0.3">
      <c r="A434" s="44"/>
      <c r="B434" s="27" t="s">
        <v>35</v>
      </c>
      <c r="C434" s="31">
        <f>IF(C433="","",IF(AND(MONTH(C433)&gt;=1,MONTH(C433)&lt;=3),1,IF(AND(MONTH(C433)&gt;=4,MONTH(C433)&lt;=6),2,IF(AND(MONTH(C433)&gt;=7,MONTH(C433)&lt;=9),3,4))))</f>
        <v>4</v>
      </c>
      <c r="D434" s="44"/>
      <c r="E434" s="29" t="s">
        <v>36</v>
      </c>
      <c r="F434" s="30"/>
    </row>
    <row r="435" spans="1:10" ht="14.1" customHeight="1" thickBot="1" x14ac:dyDescent="0.3">
      <c r="A435" s="44"/>
      <c r="B435" s="27" t="s">
        <v>37</v>
      </c>
      <c r="C435" s="28">
        <v>44925</v>
      </c>
      <c r="D435" s="44"/>
      <c r="E435" s="29" t="s">
        <v>38</v>
      </c>
      <c r="F435" s="30"/>
    </row>
    <row r="436" spans="1:10" ht="14.1" customHeight="1" thickBot="1" x14ac:dyDescent="0.3">
      <c r="A436" s="44"/>
      <c r="B436" s="27" t="s">
        <v>35</v>
      </c>
      <c r="C436" s="31">
        <f>IF(C435="","",IF(AND(MONTH(C435)&gt;=1,MONTH(C435)&lt;=3),1,IF(AND(MONTH(C435)&gt;=4,MONTH(C435)&lt;=6),2,IF(AND(MONTH(C435)&gt;=7,MONTH(C435)&lt;=9),3,4))))</f>
        <v>4</v>
      </c>
      <c r="D436" s="44"/>
      <c r="E436" s="29" t="s">
        <v>39</v>
      </c>
      <c r="F436" s="30"/>
    </row>
    <row r="437" spans="1:10" ht="14.1" customHeight="1" x14ac:dyDescent="0.25"/>
    <row r="438" spans="1:10" ht="14.1" customHeight="1" thickBot="1" x14ac:dyDescent="0.3">
      <c r="A438" s="32" t="s">
        <v>40</v>
      </c>
      <c r="B438" s="32" t="s">
        <v>41</v>
      </c>
      <c r="C438" s="32" t="s">
        <v>42</v>
      </c>
      <c r="D438" s="32" t="s">
        <v>43</v>
      </c>
      <c r="E438" s="32" t="s">
        <v>44</v>
      </c>
      <c r="F438" s="32" t="s">
        <v>45</v>
      </c>
    </row>
    <row r="439" spans="1:10" ht="14.1" customHeight="1" x14ac:dyDescent="0.25">
      <c r="A439" s="33" t="s">
        <v>102</v>
      </c>
      <c r="B439" s="34" t="str">
        <f t="shared" ref="B439:B447" ca="1" si="10">IFERROR(INDEX(UNSPSCDes,MATCH(INDIRECT(ADDRESS(ROW(),COLUMN()-1,4)),UNSPSCCode,0)),IF(INDIRECT(ADDRESS(ROW(),COLUMN()-1,4))="44103103","Tóner para impresoras o fax",""))</f>
        <v>Tóner para impresoras o fax</v>
      </c>
      <c r="C439" s="35" t="str">
        <f>IFERROR(VLOOKUP("UD",'[1]Informacion '!P:Q,2,FALSE),"")</f>
        <v>Unidad</v>
      </c>
      <c r="D439" s="33">
        <v>30</v>
      </c>
      <c r="E439" s="36">
        <v>8600</v>
      </c>
      <c r="F439" s="37">
        <f t="shared" ref="F439:F447" ca="1" si="11">INDIRECT(ADDRESS(ROW(),COLUMN()-2,4))*INDIRECT(ADDRESS(ROW(),COLUMN()-1,4))</f>
        <v>258000</v>
      </c>
    </row>
    <row r="440" spans="1:10" ht="14.1" customHeight="1" x14ac:dyDescent="0.25">
      <c r="A440" s="33" t="s">
        <v>102</v>
      </c>
      <c r="B440" s="34" t="str">
        <f t="shared" ca="1" si="10"/>
        <v>Tóner para impresoras o fax</v>
      </c>
      <c r="C440" s="35" t="str">
        <f>IFERROR(VLOOKUP("UD",'[1]Informacion '!P:Q,2,FALSE),"")</f>
        <v>Unidad</v>
      </c>
      <c r="D440" s="33">
        <v>20</v>
      </c>
      <c r="E440" s="36">
        <v>5800</v>
      </c>
      <c r="F440" s="37">
        <f t="shared" ca="1" si="11"/>
        <v>116000</v>
      </c>
    </row>
    <row r="441" spans="1:10" ht="14.1" customHeight="1" x14ac:dyDescent="0.25">
      <c r="A441" s="33" t="s">
        <v>102</v>
      </c>
      <c r="B441" s="34" t="str">
        <f t="shared" ca="1" si="10"/>
        <v>Tóner para impresoras o fax</v>
      </c>
      <c r="C441" s="35" t="str">
        <f>IFERROR(VLOOKUP("UD",'[1]Informacion '!P:Q,2,FALSE),"")</f>
        <v>Unidad</v>
      </c>
      <c r="D441" s="33">
        <v>25</v>
      </c>
      <c r="E441" s="36">
        <v>9000</v>
      </c>
      <c r="F441" s="37">
        <f t="shared" ca="1" si="11"/>
        <v>225000</v>
      </c>
    </row>
    <row r="442" spans="1:10" ht="14.1" customHeight="1" x14ac:dyDescent="0.25">
      <c r="A442" s="33" t="s">
        <v>102</v>
      </c>
      <c r="B442" s="34" t="str">
        <f t="shared" ca="1" si="10"/>
        <v>Tóner para impresoras o fax</v>
      </c>
      <c r="C442" s="35" t="str">
        <f>IFERROR(VLOOKUP("UD",'[1]Informacion '!P:Q,2,FALSE),"")</f>
        <v>Unidad</v>
      </c>
      <c r="D442" s="33">
        <v>20</v>
      </c>
      <c r="E442" s="36">
        <v>11500</v>
      </c>
      <c r="F442" s="37">
        <f t="shared" ca="1" si="11"/>
        <v>230000</v>
      </c>
    </row>
    <row r="443" spans="1:10" ht="14.1" customHeight="1" x14ac:dyDescent="0.25">
      <c r="A443" s="33" t="s">
        <v>102</v>
      </c>
      <c r="B443" s="34" t="str">
        <f t="shared" ca="1" si="10"/>
        <v>Tóner para impresoras o fax</v>
      </c>
      <c r="C443" s="35" t="str">
        <f>IFERROR(VLOOKUP("UD",'[1]Informacion '!P:Q,2,FALSE),"")</f>
        <v>Unidad</v>
      </c>
      <c r="D443" s="33">
        <v>30</v>
      </c>
      <c r="E443" s="36">
        <v>6000</v>
      </c>
      <c r="F443" s="37">
        <f t="shared" ca="1" si="11"/>
        <v>180000</v>
      </c>
    </row>
    <row r="444" spans="1:10" ht="14.1" customHeight="1" x14ac:dyDescent="0.25">
      <c r="A444" s="33" t="s">
        <v>102</v>
      </c>
      <c r="B444" s="34" t="str">
        <f t="shared" ca="1" si="10"/>
        <v>Tóner para impresoras o fax</v>
      </c>
      <c r="C444" s="35" t="str">
        <f>IFERROR(VLOOKUP("UD",'[1]Informacion '!P:Q,2,FALSE),"")</f>
        <v>Unidad</v>
      </c>
      <c r="D444" s="33">
        <v>8</v>
      </c>
      <c r="E444" s="36">
        <v>4800</v>
      </c>
      <c r="F444" s="37">
        <f t="shared" ca="1" si="11"/>
        <v>38400</v>
      </c>
    </row>
    <row r="445" spans="1:10" ht="14.1" customHeight="1" x14ac:dyDescent="0.25">
      <c r="A445" s="33" t="s">
        <v>102</v>
      </c>
      <c r="B445" s="34" t="str">
        <f t="shared" ca="1" si="10"/>
        <v>Tóner para impresoras o fax</v>
      </c>
      <c r="C445" s="35" t="str">
        <f>IFERROR(VLOOKUP("UD",'[1]Informacion '!P:Q,2,FALSE),"")</f>
        <v>Unidad</v>
      </c>
      <c r="D445" s="33">
        <v>8</v>
      </c>
      <c r="E445" s="36">
        <v>5900</v>
      </c>
      <c r="F445" s="37">
        <f t="shared" ca="1" si="11"/>
        <v>47200</v>
      </c>
    </row>
    <row r="446" spans="1:10" ht="14.1" customHeight="1" x14ac:dyDescent="0.25">
      <c r="A446" s="33" t="s">
        <v>102</v>
      </c>
      <c r="B446" s="34" t="str">
        <f t="shared" ca="1" si="10"/>
        <v>Tóner para impresoras o fax</v>
      </c>
      <c r="C446" s="35" t="str">
        <f>IFERROR(VLOOKUP("UD",'[1]Informacion '!P:Q,2,FALSE),"")</f>
        <v>Unidad</v>
      </c>
      <c r="D446" s="33">
        <v>8</v>
      </c>
      <c r="E446" s="36">
        <v>5000</v>
      </c>
      <c r="F446" s="37">
        <f t="shared" ca="1" si="11"/>
        <v>40000</v>
      </c>
    </row>
    <row r="447" spans="1:10" ht="14.1" customHeight="1" x14ac:dyDescent="0.25">
      <c r="A447" s="33" t="s">
        <v>102</v>
      </c>
      <c r="B447" s="34" t="str">
        <f t="shared" ca="1" si="10"/>
        <v>Tóner para impresoras o fax</v>
      </c>
      <c r="C447" s="35" t="str">
        <f>IFERROR(VLOOKUP("UD",'[1]Informacion '!P:Q,2,FALSE),"")</f>
        <v>Unidad</v>
      </c>
      <c r="D447" s="33">
        <v>8</v>
      </c>
      <c r="E447" s="36">
        <v>10000</v>
      </c>
      <c r="F447" s="37">
        <f t="shared" ca="1" si="11"/>
        <v>80000</v>
      </c>
    </row>
    <row r="448" spans="1:10" ht="14.1" customHeight="1" x14ac:dyDescent="0.25">
      <c r="E448" s="38" t="s">
        <v>48</v>
      </c>
      <c r="F448" s="39">
        <f ca="1">SUM(Table35[MONTO TOTAL ESTIMADO])</f>
        <v>1214600</v>
      </c>
      <c r="H448" s="25" t="str">
        <f>C432</f>
        <v>Bienes</v>
      </c>
      <c r="I448" s="25" t="str">
        <f>E432</f>
        <v>Sí</v>
      </c>
      <c r="J448" s="25" t="str">
        <f>D432</f>
        <v>Comparacion de Precios</v>
      </c>
    </row>
    <row r="449" spans="1:10" ht="14.1" customHeight="1" x14ac:dyDescent="0.25"/>
    <row r="450" spans="1:10" ht="34.15" customHeight="1" thickBot="1" x14ac:dyDescent="0.3">
      <c r="A450" s="24" t="s">
        <v>19</v>
      </c>
      <c r="B450" s="24" t="s">
        <v>20</v>
      </c>
      <c r="C450" s="24" t="s">
        <v>21</v>
      </c>
      <c r="D450" s="24" t="s">
        <v>22</v>
      </c>
      <c r="E450" s="24" t="s">
        <v>23</v>
      </c>
      <c r="F450" s="24" t="s">
        <v>24</v>
      </c>
    </row>
    <row r="451" spans="1:10" ht="14.1" customHeight="1" thickBot="1" x14ac:dyDescent="0.3">
      <c r="A451" s="26" t="s">
        <v>106</v>
      </c>
      <c r="B451" s="26" t="s">
        <v>107</v>
      </c>
      <c r="C451" s="26" t="s">
        <v>27</v>
      </c>
      <c r="D451" s="26" t="s">
        <v>28</v>
      </c>
      <c r="E451" s="26" t="s">
        <v>54</v>
      </c>
      <c r="F451" s="26"/>
    </row>
    <row r="452" spans="1:10" ht="14.1" customHeight="1" thickBot="1" x14ac:dyDescent="0.3">
      <c r="A452" s="43" t="s">
        <v>30</v>
      </c>
      <c r="B452" s="27" t="s">
        <v>31</v>
      </c>
      <c r="C452" s="28">
        <v>44576</v>
      </c>
      <c r="D452" s="43" t="s">
        <v>32</v>
      </c>
      <c r="E452" s="29" t="s">
        <v>33</v>
      </c>
      <c r="F452" s="30" t="s">
        <v>34</v>
      </c>
    </row>
    <row r="453" spans="1:10" ht="14.1" customHeight="1" thickBot="1" x14ac:dyDescent="0.3">
      <c r="A453" s="44"/>
      <c r="B453" s="27" t="s">
        <v>35</v>
      </c>
      <c r="C453" s="31">
        <f>IF(C452="","",IF(AND(MONTH(C452)&gt;=1,MONTH(C452)&lt;=3),1,IF(AND(MONTH(C452)&gt;=4,MONTH(C452)&lt;=6),2,IF(AND(MONTH(C452)&gt;=7,MONTH(C452)&lt;=9),3,4))))</f>
        <v>1</v>
      </c>
      <c r="D453" s="44"/>
      <c r="E453" s="29" t="s">
        <v>36</v>
      </c>
      <c r="F453" s="30"/>
    </row>
    <row r="454" spans="1:10" ht="14.1" customHeight="1" thickBot="1" x14ac:dyDescent="0.3">
      <c r="A454" s="44"/>
      <c r="B454" s="27" t="s">
        <v>37</v>
      </c>
      <c r="C454" s="28">
        <v>44651</v>
      </c>
      <c r="D454" s="44"/>
      <c r="E454" s="29" t="s">
        <v>38</v>
      </c>
      <c r="F454" s="30"/>
    </row>
    <row r="455" spans="1:10" ht="14.1" customHeight="1" thickBot="1" x14ac:dyDescent="0.3">
      <c r="A455" s="44"/>
      <c r="B455" s="27" t="s">
        <v>35</v>
      </c>
      <c r="C455" s="31">
        <f>IF(C454="","",IF(AND(MONTH(C454)&gt;=1,MONTH(C454)&lt;=3),1,IF(AND(MONTH(C454)&gt;=4,MONTH(C454)&lt;=6),2,IF(AND(MONTH(C454)&gt;=7,MONTH(C454)&lt;=9),3,4))))</f>
        <v>1</v>
      </c>
      <c r="D455" s="44"/>
      <c r="E455" s="29" t="s">
        <v>39</v>
      </c>
      <c r="F455" s="30"/>
    </row>
    <row r="456" spans="1:10" ht="14.1" customHeight="1" x14ac:dyDescent="0.25"/>
    <row r="457" spans="1:10" ht="14.1" customHeight="1" thickBot="1" x14ac:dyDescent="0.3">
      <c r="A457" s="32" t="s">
        <v>40</v>
      </c>
      <c r="B457" s="32" t="s">
        <v>41</v>
      </c>
      <c r="C457" s="32" t="s">
        <v>42</v>
      </c>
      <c r="D457" s="32" t="s">
        <v>43</v>
      </c>
      <c r="E457" s="32" t="s">
        <v>44</v>
      </c>
      <c r="F457" s="32" t="s">
        <v>45</v>
      </c>
    </row>
    <row r="458" spans="1:10" ht="14.1" customHeight="1" x14ac:dyDescent="0.25">
      <c r="A458" s="33" t="s">
        <v>108</v>
      </c>
      <c r="B458" s="34" t="str">
        <f ca="1">IFERROR(INDEX(UNSPSCDes,MATCH(INDIRECT(ADDRESS(ROW(),COLUMN()-1,4)),UNSPSCCode,0)),IF(INDIRECT(ADDRESS(ROW(),COLUMN()-1,4))="60124102","Productos de artesanía multicultural",""))</f>
        <v>Productos de artesanía multicultural</v>
      </c>
      <c r="C458" s="35" t="str">
        <f>IFERROR(VLOOKUP("UD",'[1]Informacion '!P:Q,2,FALSE),"")</f>
        <v>Unidad</v>
      </c>
      <c r="D458" s="33">
        <v>1</v>
      </c>
      <c r="E458" s="36">
        <v>15000</v>
      </c>
      <c r="F458" s="37">
        <f ca="1">INDIRECT(ADDRESS(ROW(),COLUMN()-2,4))*INDIRECT(ADDRESS(ROW(),COLUMN()-1,4))</f>
        <v>15000</v>
      </c>
    </row>
    <row r="459" spans="1:10" ht="14.1" customHeight="1" x14ac:dyDescent="0.25">
      <c r="A459" s="33" t="s">
        <v>109</v>
      </c>
      <c r="B459" s="34" t="str">
        <f ca="1">IFERROR(INDEX(UNSPSCDes,MATCH(INDIRECT(ADDRESS(ROW(),COLUMN()-1,4)),UNSPSCCode,0)),IF(INDIRECT(ADDRESS(ROW(),COLUMN()-1,4))="50211502","Cigarrillos o cigarros",""))</f>
        <v>Cigarrillos o cigarros</v>
      </c>
      <c r="C459" s="35" t="str">
        <f>IFERROR(VLOOKUP("UD",'[1]Informacion '!P:Q,2,FALSE),"")</f>
        <v>Unidad</v>
      </c>
      <c r="D459" s="33">
        <v>20</v>
      </c>
      <c r="E459" s="36">
        <v>1000</v>
      </c>
      <c r="F459" s="37">
        <f ca="1">INDIRECT(ADDRESS(ROW(),COLUMN()-2,4))*INDIRECT(ADDRESS(ROW(),COLUMN()-1,4))</f>
        <v>20000</v>
      </c>
    </row>
    <row r="460" spans="1:10" ht="14.1" customHeight="1" x14ac:dyDescent="0.25">
      <c r="A460" s="33" t="s">
        <v>110</v>
      </c>
      <c r="B460" s="34" t="str">
        <f ca="1">IFERROR(INDEX(UNSPSCDes,MATCH(INDIRECT(ADDRESS(ROW(),COLUMN()-1,4)),UNSPSCCode,0)),IF(INDIRECT(ADDRESS(ROW(),COLUMN()-1,4))="50202206","Licor destilado",""))</f>
        <v>Licor destilado</v>
      </c>
      <c r="C460" s="35" t="str">
        <f>IFERROR(VLOOKUP("UD",'[1]Informacion '!P:Q,2,FALSE),"")</f>
        <v>Unidad</v>
      </c>
      <c r="D460" s="33">
        <v>20</v>
      </c>
      <c r="E460" s="36">
        <v>1500</v>
      </c>
      <c r="F460" s="37">
        <f ca="1">INDIRECT(ADDRESS(ROW(),COLUMN()-2,4))*INDIRECT(ADDRESS(ROW(),COLUMN()-1,4))</f>
        <v>30000</v>
      </c>
    </row>
    <row r="461" spans="1:10" ht="14.1" customHeight="1" x14ac:dyDescent="0.25">
      <c r="E461" s="38" t="s">
        <v>48</v>
      </c>
      <c r="F461" s="39">
        <f ca="1">SUM(Table36[MONTO TOTAL ESTIMADO])</f>
        <v>65000</v>
      </c>
      <c r="H461" s="25" t="str">
        <f>C451</f>
        <v>Bienes</v>
      </c>
      <c r="I461" s="25" t="str">
        <f>E451</f>
        <v>Sí</v>
      </c>
      <c r="J461" s="25" t="str">
        <f>D451</f>
        <v>Compras Menores</v>
      </c>
    </row>
    <row r="462" spans="1:10" ht="14.1" customHeight="1" x14ac:dyDescent="0.25"/>
    <row r="463" spans="1:10" ht="34.15" customHeight="1" thickBot="1" x14ac:dyDescent="0.3">
      <c r="A463" s="24" t="s">
        <v>19</v>
      </c>
      <c r="B463" s="24" t="s">
        <v>20</v>
      </c>
      <c r="C463" s="24" t="s">
        <v>21</v>
      </c>
      <c r="D463" s="24" t="s">
        <v>22</v>
      </c>
      <c r="E463" s="24" t="s">
        <v>23</v>
      </c>
      <c r="F463" s="24" t="s">
        <v>24</v>
      </c>
    </row>
    <row r="464" spans="1:10" ht="14.1" customHeight="1" thickBot="1" x14ac:dyDescent="0.3">
      <c r="A464" s="26" t="s">
        <v>106</v>
      </c>
      <c r="B464" s="26" t="s">
        <v>107</v>
      </c>
      <c r="C464" s="26" t="s">
        <v>27</v>
      </c>
      <c r="D464" s="26" t="s">
        <v>53</v>
      </c>
      <c r="E464" s="26" t="s">
        <v>54</v>
      </c>
      <c r="F464" s="26"/>
    </row>
    <row r="465" spans="1:10" ht="14.1" customHeight="1" thickBot="1" x14ac:dyDescent="0.3">
      <c r="A465" s="43" t="s">
        <v>30</v>
      </c>
      <c r="B465" s="27" t="s">
        <v>31</v>
      </c>
      <c r="C465" s="28">
        <v>44652</v>
      </c>
      <c r="D465" s="43" t="s">
        <v>32</v>
      </c>
      <c r="E465" s="29" t="s">
        <v>33</v>
      </c>
      <c r="F465" s="30" t="s">
        <v>34</v>
      </c>
    </row>
    <row r="466" spans="1:10" ht="14.1" customHeight="1" thickBot="1" x14ac:dyDescent="0.3">
      <c r="A466" s="44"/>
      <c r="B466" s="27" t="s">
        <v>35</v>
      </c>
      <c r="C466" s="31">
        <f>IF(C465="","",IF(AND(MONTH(C465)&gt;=1,MONTH(C465)&lt;=3),1,IF(AND(MONTH(C465)&gt;=4,MONTH(C465)&lt;=6),2,IF(AND(MONTH(C465)&gt;=7,MONTH(C465)&lt;=9),3,4))))</f>
        <v>2</v>
      </c>
      <c r="D466" s="44"/>
      <c r="E466" s="29" t="s">
        <v>36</v>
      </c>
      <c r="F466" s="30"/>
    </row>
    <row r="467" spans="1:10" ht="14.1" customHeight="1" thickBot="1" x14ac:dyDescent="0.3">
      <c r="A467" s="44"/>
      <c r="B467" s="27" t="s">
        <v>37</v>
      </c>
      <c r="C467" s="28">
        <v>44742</v>
      </c>
      <c r="D467" s="44"/>
      <c r="E467" s="29" t="s">
        <v>38</v>
      </c>
      <c r="F467" s="30"/>
    </row>
    <row r="468" spans="1:10" ht="14.1" customHeight="1" thickBot="1" x14ac:dyDescent="0.3">
      <c r="A468" s="44"/>
      <c r="B468" s="27" t="s">
        <v>35</v>
      </c>
      <c r="C468" s="31">
        <f>IF(C467="","",IF(AND(MONTH(C467)&gt;=1,MONTH(C467)&lt;=3),1,IF(AND(MONTH(C467)&gt;=4,MONTH(C467)&lt;=6),2,IF(AND(MONTH(C467)&gt;=7,MONTH(C467)&lt;=9),3,4))))</f>
        <v>2</v>
      </c>
      <c r="D468" s="44"/>
      <c r="E468" s="29" t="s">
        <v>39</v>
      </c>
      <c r="F468" s="30"/>
    </row>
    <row r="469" spans="1:10" ht="14.1" customHeight="1" x14ac:dyDescent="0.25"/>
    <row r="470" spans="1:10" ht="14.1" customHeight="1" thickBot="1" x14ac:dyDescent="0.3">
      <c r="A470" s="32" t="s">
        <v>40</v>
      </c>
      <c r="B470" s="32" t="s">
        <v>41</v>
      </c>
      <c r="C470" s="32" t="s">
        <v>42</v>
      </c>
      <c r="D470" s="32" t="s">
        <v>43</v>
      </c>
      <c r="E470" s="32" t="s">
        <v>44</v>
      </c>
      <c r="F470" s="32" t="s">
        <v>45</v>
      </c>
    </row>
    <row r="471" spans="1:10" ht="14.1" customHeight="1" x14ac:dyDescent="0.25">
      <c r="A471" s="33" t="s">
        <v>108</v>
      </c>
      <c r="B471" s="34" t="str">
        <f ca="1">IFERROR(INDEX(UNSPSCDes,MATCH(INDIRECT(ADDRESS(ROW(),COLUMN()-1,4)),UNSPSCCode,0)),IF(INDIRECT(ADDRESS(ROW(),COLUMN()-1,4))="60124102","Productos de artesanía multicultural",""))</f>
        <v>Productos de artesanía multicultural</v>
      </c>
      <c r="C471" s="35" t="str">
        <f>IFERROR(VLOOKUP("UD",'[1]Informacion '!P:Q,2,FALSE),"")</f>
        <v>Unidad</v>
      </c>
      <c r="D471" s="33">
        <v>1</v>
      </c>
      <c r="E471" s="36">
        <v>100000</v>
      </c>
      <c r="F471" s="37">
        <f ca="1">INDIRECT(ADDRESS(ROW(),COLUMN()-2,4))*INDIRECT(ADDRESS(ROW(),COLUMN()-1,4))</f>
        <v>100000</v>
      </c>
    </row>
    <row r="472" spans="1:10" ht="14.1" customHeight="1" x14ac:dyDescent="0.25">
      <c r="E472" s="38" t="s">
        <v>48</v>
      </c>
      <c r="F472" s="39">
        <f ca="1">SUM(Table37[MONTO TOTAL ESTIMADO])</f>
        <v>100000</v>
      </c>
      <c r="H472" s="25" t="str">
        <f>C464</f>
        <v>Bienes</v>
      </c>
      <c r="I472" s="25" t="str">
        <f>E464</f>
        <v>Sí</v>
      </c>
      <c r="J472" s="25" t="str">
        <f>D464</f>
        <v>Compras por debajo del Umbral</v>
      </c>
    </row>
    <row r="473" spans="1:10" ht="14.1" customHeight="1" x14ac:dyDescent="0.25"/>
    <row r="474" spans="1:10" ht="34.15" customHeight="1" thickBot="1" x14ac:dyDescent="0.3">
      <c r="A474" s="24" t="s">
        <v>19</v>
      </c>
      <c r="B474" s="24" t="s">
        <v>20</v>
      </c>
      <c r="C474" s="24" t="s">
        <v>21</v>
      </c>
      <c r="D474" s="24" t="s">
        <v>22</v>
      </c>
      <c r="E474" s="24" t="s">
        <v>23</v>
      </c>
      <c r="F474" s="24" t="s">
        <v>24</v>
      </c>
    </row>
    <row r="475" spans="1:10" ht="14.1" customHeight="1" thickBot="1" x14ac:dyDescent="0.3">
      <c r="A475" s="26" t="s">
        <v>106</v>
      </c>
      <c r="B475" s="26" t="s">
        <v>111</v>
      </c>
      <c r="C475" s="26" t="s">
        <v>27</v>
      </c>
      <c r="D475" s="26" t="s">
        <v>53</v>
      </c>
      <c r="E475" s="26" t="s">
        <v>54</v>
      </c>
      <c r="F475" s="26"/>
    </row>
    <row r="476" spans="1:10" ht="14.1" customHeight="1" thickBot="1" x14ac:dyDescent="0.3">
      <c r="A476" s="43" t="s">
        <v>30</v>
      </c>
      <c r="B476" s="27" t="s">
        <v>31</v>
      </c>
      <c r="C476" s="28">
        <v>44743</v>
      </c>
      <c r="D476" s="43" t="s">
        <v>32</v>
      </c>
      <c r="E476" s="29" t="s">
        <v>33</v>
      </c>
      <c r="F476" s="30" t="s">
        <v>34</v>
      </c>
    </row>
    <row r="477" spans="1:10" ht="14.1" customHeight="1" thickBot="1" x14ac:dyDescent="0.3">
      <c r="A477" s="44"/>
      <c r="B477" s="27" t="s">
        <v>35</v>
      </c>
      <c r="C477" s="31">
        <f>IF(C476="","",IF(AND(MONTH(C476)&gt;=1,MONTH(C476)&lt;=3),1,IF(AND(MONTH(C476)&gt;=4,MONTH(C476)&lt;=6),2,IF(AND(MONTH(C476)&gt;=7,MONTH(C476)&lt;=9),3,4))))</f>
        <v>3</v>
      </c>
      <c r="D477" s="44"/>
      <c r="E477" s="29" t="s">
        <v>36</v>
      </c>
      <c r="F477" s="30"/>
    </row>
    <row r="478" spans="1:10" ht="14.1" customHeight="1" thickBot="1" x14ac:dyDescent="0.3">
      <c r="A478" s="44"/>
      <c r="B478" s="27" t="s">
        <v>37</v>
      </c>
      <c r="C478" s="28">
        <v>44834</v>
      </c>
      <c r="D478" s="44"/>
      <c r="E478" s="29" t="s">
        <v>38</v>
      </c>
      <c r="F478" s="30"/>
    </row>
    <row r="479" spans="1:10" ht="14.1" customHeight="1" thickBot="1" x14ac:dyDescent="0.3">
      <c r="A479" s="44"/>
      <c r="B479" s="27" t="s">
        <v>35</v>
      </c>
      <c r="C479" s="31">
        <f>IF(C478="","",IF(AND(MONTH(C478)&gt;=1,MONTH(C478)&lt;=3),1,IF(AND(MONTH(C478)&gt;=4,MONTH(C478)&lt;=6),2,IF(AND(MONTH(C478)&gt;=7,MONTH(C478)&lt;=9),3,4))))</f>
        <v>3</v>
      </c>
      <c r="D479" s="44"/>
      <c r="E479" s="29" t="s">
        <v>39</v>
      </c>
      <c r="F479" s="30"/>
    </row>
    <row r="480" spans="1:10" ht="14.1" customHeight="1" x14ac:dyDescent="0.25"/>
    <row r="481" spans="1:10" ht="14.1" customHeight="1" thickBot="1" x14ac:dyDescent="0.3">
      <c r="A481" s="32" t="s">
        <v>40</v>
      </c>
      <c r="B481" s="32" t="s">
        <v>41</v>
      </c>
      <c r="C481" s="32" t="s">
        <v>42</v>
      </c>
      <c r="D481" s="32" t="s">
        <v>43</v>
      </c>
      <c r="E481" s="32" t="s">
        <v>44</v>
      </c>
      <c r="F481" s="32" t="s">
        <v>45</v>
      </c>
    </row>
    <row r="482" spans="1:10" ht="14.1" customHeight="1" x14ac:dyDescent="0.25">
      <c r="A482" s="33" t="s">
        <v>109</v>
      </c>
      <c r="B482" s="34" t="str">
        <f ca="1">IFERROR(INDEX(UNSPSCDes,MATCH(INDIRECT(ADDRESS(ROW(),COLUMN()-1,4)),UNSPSCCode,0)),IF(INDIRECT(ADDRESS(ROW(),COLUMN()-1,4))="50211502","Cigarrillos o cigarros",""))</f>
        <v>Cigarrillos o cigarros</v>
      </c>
      <c r="C482" s="35" t="str">
        <f>IFERROR(VLOOKUP("UD",'[1]Informacion '!P:Q,2,FALSE),"")</f>
        <v>Unidad</v>
      </c>
      <c r="D482" s="33">
        <v>20</v>
      </c>
      <c r="E482" s="36">
        <v>1000</v>
      </c>
      <c r="F482" s="37">
        <f ca="1">INDIRECT(ADDRESS(ROW(),COLUMN()-2,4))*INDIRECT(ADDRESS(ROW(),COLUMN()-1,4))</f>
        <v>20000</v>
      </c>
    </row>
    <row r="483" spans="1:10" ht="14.1" customHeight="1" x14ac:dyDescent="0.25">
      <c r="A483" s="33" t="s">
        <v>110</v>
      </c>
      <c r="B483" s="34" t="str">
        <f ca="1">IFERROR(INDEX(UNSPSCDes,MATCH(INDIRECT(ADDRESS(ROW(),COLUMN()-1,4)),UNSPSCCode,0)),IF(INDIRECT(ADDRESS(ROW(),COLUMN()-1,4))="50202206","Licor destilado",""))</f>
        <v>Licor destilado</v>
      </c>
      <c r="C483" s="35" t="str">
        <f>IFERROR(VLOOKUP("UD",'[1]Informacion '!P:Q,2,FALSE),"")</f>
        <v>Unidad</v>
      </c>
      <c r="D483" s="33">
        <v>20</v>
      </c>
      <c r="E483" s="36">
        <v>1500</v>
      </c>
      <c r="F483" s="37">
        <f ca="1">INDIRECT(ADDRESS(ROW(),COLUMN()-2,4))*INDIRECT(ADDRESS(ROW(),COLUMN()-1,4))</f>
        <v>30000</v>
      </c>
    </row>
    <row r="484" spans="1:10" ht="14.1" customHeight="1" x14ac:dyDescent="0.25">
      <c r="E484" s="38" t="s">
        <v>48</v>
      </c>
      <c r="F484" s="39">
        <f ca="1">SUM(Table38[MONTO TOTAL ESTIMADO])</f>
        <v>50000</v>
      </c>
      <c r="H484" s="25" t="str">
        <f>C475</f>
        <v>Bienes</v>
      </c>
      <c r="I484" s="25" t="str">
        <f>E475</f>
        <v>Sí</v>
      </c>
      <c r="J484" s="25" t="str">
        <f>D475</f>
        <v>Compras por debajo del Umbral</v>
      </c>
    </row>
    <row r="485" spans="1:10" ht="14.1" customHeight="1" x14ac:dyDescent="0.25"/>
    <row r="486" spans="1:10" ht="34.15" customHeight="1" thickBot="1" x14ac:dyDescent="0.3">
      <c r="A486" s="24" t="s">
        <v>19</v>
      </c>
      <c r="B486" s="24" t="s">
        <v>20</v>
      </c>
      <c r="C486" s="24" t="s">
        <v>21</v>
      </c>
      <c r="D486" s="24" t="s">
        <v>22</v>
      </c>
      <c r="E486" s="24" t="s">
        <v>23</v>
      </c>
      <c r="F486" s="24" t="s">
        <v>24</v>
      </c>
    </row>
    <row r="487" spans="1:10" ht="14.1" customHeight="1" thickBot="1" x14ac:dyDescent="0.3">
      <c r="A487" s="26" t="s">
        <v>106</v>
      </c>
      <c r="B487" s="26" t="s">
        <v>112</v>
      </c>
      <c r="C487" s="26" t="s">
        <v>27</v>
      </c>
      <c r="D487" s="26" t="s">
        <v>53</v>
      </c>
      <c r="E487" s="26" t="s">
        <v>54</v>
      </c>
      <c r="F487" s="26"/>
    </row>
    <row r="488" spans="1:10" ht="14.1" customHeight="1" thickBot="1" x14ac:dyDescent="0.3">
      <c r="A488" s="43" t="s">
        <v>30</v>
      </c>
      <c r="B488" s="27" t="s">
        <v>31</v>
      </c>
      <c r="C488" s="28">
        <v>44837</v>
      </c>
      <c r="D488" s="43" t="s">
        <v>32</v>
      </c>
      <c r="E488" s="29" t="s">
        <v>33</v>
      </c>
      <c r="F488" s="30" t="s">
        <v>34</v>
      </c>
    </row>
    <row r="489" spans="1:10" ht="14.1" customHeight="1" thickBot="1" x14ac:dyDescent="0.3">
      <c r="A489" s="44"/>
      <c r="B489" s="27" t="s">
        <v>35</v>
      </c>
      <c r="C489" s="31">
        <f>IF(C488="","",IF(AND(MONTH(C488)&gt;=1,MONTH(C488)&lt;=3),1,IF(AND(MONTH(C488)&gt;=4,MONTH(C488)&lt;=6),2,IF(AND(MONTH(C488)&gt;=7,MONTH(C488)&lt;=9),3,4))))</f>
        <v>4</v>
      </c>
      <c r="D489" s="44"/>
      <c r="E489" s="29" t="s">
        <v>36</v>
      </c>
      <c r="F489" s="30"/>
    </row>
    <row r="490" spans="1:10" ht="14.1" customHeight="1" thickBot="1" x14ac:dyDescent="0.3">
      <c r="A490" s="44"/>
      <c r="B490" s="27" t="s">
        <v>37</v>
      </c>
      <c r="C490" s="28">
        <v>44925</v>
      </c>
      <c r="D490" s="44"/>
      <c r="E490" s="29" t="s">
        <v>38</v>
      </c>
      <c r="F490" s="30"/>
    </row>
    <row r="491" spans="1:10" ht="14.1" customHeight="1" thickBot="1" x14ac:dyDescent="0.3">
      <c r="A491" s="44"/>
      <c r="B491" s="27" t="s">
        <v>35</v>
      </c>
      <c r="C491" s="31">
        <f>IF(C490="","",IF(AND(MONTH(C490)&gt;=1,MONTH(C490)&lt;=3),1,IF(AND(MONTH(C490)&gt;=4,MONTH(C490)&lt;=6),2,IF(AND(MONTH(C490)&gt;=7,MONTH(C490)&lt;=9),3,4))))</f>
        <v>4</v>
      </c>
      <c r="D491" s="44"/>
      <c r="E491" s="29" t="s">
        <v>39</v>
      </c>
      <c r="F491" s="30"/>
    </row>
    <row r="492" spans="1:10" ht="14.1" customHeight="1" x14ac:dyDescent="0.25"/>
    <row r="493" spans="1:10" ht="14.1" customHeight="1" thickBot="1" x14ac:dyDescent="0.3">
      <c r="A493" s="32" t="s">
        <v>40</v>
      </c>
      <c r="B493" s="32" t="s">
        <v>41</v>
      </c>
      <c r="C493" s="32" t="s">
        <v>42</v>
      </c>
      <c r="D493" s="32" t="s">
        <v>43</v>
      </c>
      <c r="E493" s="32" t="s">
        <v>44</v>
      </c>
      <c r="F493" s="32" t="s">
        <v>45</v>
      </c>
    </row>
    <row r="494" spans="1:10" ht="14.1" customHeight="1" x14ac:dyDescent="0.25">
      <c r="A494" s="33" t="s">
        <v>108</v>
      </c>
      <c r="B494" s="34" t="str">
        <f ca="1">IFERROR(INDEX(UNSPSCDes,MATCH(INDIRECT(ADDRESS(ROW(),COLUMN()-1,4)),UNSPSCCode,0)),IF(INDIRECT(ADDRESS(ROW(),COLUMN()-1,4))="60124102","Productos de artesanía multicultural",""))</f>
        <v>Productos de artesanía multicultural</v>
      </c>
      <c r="C494" s="35" t="str">
        <f>IFERROR(VLOOKUP("UD",'[1]Informacion '!P:Q,2,FALSE),"")</f>
        <v>Unidad</v>
      </c>
      <c r="D494" s="33">
        <v>1</v>
      </c>
      <c r="E494" s="36">
        <v>100000</v>
      </c>
      <c r="F494" s="37">
        <f ca="1">INDIRECT(ADDRESS(ROW(),COLUMN()-2,4))*INDIRECT(ADDRESS(ROW(),COLUMN()-1,4))</f>
        <v>100000</v>
      </c>
    </row>
    <row r="495" spans="1:10" ht="14.1" customHeight="1" x14ac:dyDescent="0.25">
      <c r="E495" s="38" t="s">
        <v>48</v>
      </c>
      <c r="F495" s="39">
        <f ca="1">SUM(Table39[MONTO TOTAL ESTIMADO])</f>
        <v>100000</v>
      </c>
      <c r="H495" s="25" t="str">
        <f>C487</f>
        <v>Bienes</v>
      </c>
      <c r="I495" s="25" t="str">
        <f>E487</f>
        <v>Sí</v>
      </c>
      <c r="J495" s="25" t="str">
        <f>D487</f>
        <v>Compras por debajo del Umbral</v>
      </c>
    </row>
    <row r="496" spans="1:10" ht="14.1" customHeight="1" x14ac:dyDescent="0.25"/>
    <row r="497" spans="1:10" ht="34.15" customHeight="1" thickBot="1" x14ac:dyDescent="0.3">
      <c r="A497" s="24" t="s">
        <v>19</v>
      </c>
      <c r="B497" s="24" t="s">
        <v>20</v>
      </c>
      <c r="C497" s="24" t="s">
        <v>21</v>
      </c>
      <c r="D497" s="24" t="s">
        <v>22</v>
      </c>
      <c r="E497" s="24" t="s">
        <v>23</v>
      </c>
      <c r="F497" s="24" t="s">
        <v>24</v>
      </c>
    </row>
    <row r="498" spans="1:10" ht="14.1" customHeight="1" thickBot="1" x14ac:dyDescent="0.3">
      <c r="A498" s="26" t="s">
        <v>113</v>
      </c>
      <c r="B498" s="26" t="s">
        <v>114</v>
      </c>
      <c r="C498" s="26" t="s">
        <v>27</v>
      </c>
      <c r="D498" s="26" t="s">
        <v>28</v>
      </c>
      <c r="E498" s="26" t="s">
        <v>54</v>
      </c>
      <c r="F498" s="26"/>
    </row>
    <row r="499" spans="1:10" ht="14.1" customHeight="1" thickBot="1" x14ac:dyDescent="0.3">
      <c r="A499" s="43" t="s">
        <v>30</v>
      </c>
      <c r="B499" s="27" t="s">
        <v>31</v>
      </c>
      <c r="C499" s="28">
        <v>44576</v>
      </c>
      <c r="D499" s="43" t="s">
        <v>32</v>
      </c>
      <c r="E499" s="29" t="s">
        <v>33</v>
      </c>
      <c r="F499" s="30" t="s">
        <v>34</v>
      </c>
    </row>
    <row r="500" spans="1:10" ht="14.1" customHeight="1" thickBot="1" x14ac:dyDescent="0.3">
      <c r="A500" s="44"/>
      <c r="B500" s="27" t="s">
        <v>35</v>
      </c>
      <c r="C500" s="31">
        <f>IF(C499="","",IF(AND(MONTH(C499)&gt;=1,MONTH(C499)&lt;=3),1,IF(AND(MONTH(C499)&gt;=4,MONTH(C499)&lt;=6),2,IF(AND(MONTH(C499)&gt;=7,MONTH(C499)&lt;=9),3,4))))</f>
        <v>1</v>
      </c>
      <c r="D500" s="44"/>
      <c r="E500" s="29" t="s">
        <v>36</v>
      </c>
      <c r="F500" s="30"/>
    </row>
    <row r="501" spans="1:10" ht="14.1" customHeight="1" thickBot="1" x14ac:dyDescent="0.3">
      <c r="A501" s="44"/>
      <c r="B501" s="27" t="s">
        <v>37</v>
      </c>
      <c r="C501" s="28">
        <v>44651</v>
      </c>
      <c r="D501" s="44"/>
      <c r="E501" s="29" t="s">
        <v>38</v>
      </c>
      <c r="F501" s="30"/>
    </row>
    <row r="502" spans="1:10" ht="14.1" customHeight="1" thickBot="1" x14ac:dyDescent="0.3">
      <c r="A502" s="44"/>
      <c r="B502" s="27" t="s">
        <v>35</v>
      </c>
      <c r="C502" s="31">
        <f>IF(C501="","",IF(AND(MONTH(C501)&gt;=1,MONTH(C501)&lt;=3),1,IF(AND(MONTH(C501)&gt;=4,MONTH(C501)&lt;=6),2,IF(AND(MONTH(C501)&gt;=7,MONTH(C501)&lt;=9),3,4))))</f>
        <v>1</v>
      </c>
      <c r="D502" s="44"/>
      <c r="E502" s="29" t="s">
        <v>39</v>
      </c>
      <c r="F502" s="30"/>
    </row>
    <row r="503" spans="1:10" ht="14.1" customHeight="1" x14ac:dyDescent="0.25"/>
    <row r="504" spans="1:10" ht="14.1" customHeight="1" thickBot="1" x14ac:dyDescent="0.3">
      <c r="A504" s="32" t="s">
        <v>40</v>
      </c>
      <c r="B504" s="32" t="s">
        <v>41</v>
      </c>
      <c r="C504" s="32" t="s">
        <v>42</v>
      </c>
      <c r="D504" s="32" t="s">
        <v>43</v>
      </c>
      <c r="E504" s="32" t="s">
        <v>44</v>
      </c>
      <c r="F504" s="32" t="s">
        <v>45</v>
      </c>
    </row>
    <row r="505" spans="1:10" ht="14.1" customHeight="1" x14ac:dyDescent="0.25">
      <c r="A505" s="33" t="s">
        <v>115</v>
      </c>
      <c r="B505" s="34" t="str">
        <f ca="1">IFERROR(INDEX(UNSPSCDes,MATCH(INDIRECT(ADDRESS(ROW(),COLUMN()-1,4)),UNSPSCCode,0)),IF(INDIRECT(ADDRESS(ROW(),COLUMN()-1,4))="53103001","Camisetas (t-shirts)",""))</f>
        <v>Camisetas (t-shirts)</v>
      </c>
      <c r="C505" s="35" t="str">
        <f>IFERROR(VLOOKUP("UD",'[1]Informacion '!P:Q,2,FALSE),"")</f>
        <v>Unidad</v>
      </c>
      <c r="D505" s="33">
        <v>125</v>
      </c>
      <c r="E505" s="36">
        <v>600</v>
      </c>
      <c r="F505" s="37">
        <f ca="1">INDIRECT(ADDRESS(ROW(),COLUMN()-2,4))*INDIRECT(ADDRESS(ROW(),COLUMN()-1,4))</f>
        <v>75000</v>
      </c>
    </row>
    <row r="506" spans="1:10" ht="14.1" customHeight="1" x14ac:dyDescent="0.25">
      <c r="A506" s="33" t="s">
        <v>116</v>
      </c>
      <c r="B506" s="34" t="str">
        <f ca="1">IFERROR(INDEX(UNSPSCDes,MATCH(INDIRECT(ADDRESS(ROW(),COLUMN()-1,4)),UNSPSCCode,0)),IF(INDIRECT(ADDRESS(ROW(),COLUMN()-1,4))="53102505","Sombrillas",""))</f>
        <v>Sombrillas</v>
      </c>
      <c r="C506" s="35" t="str">
        <f>IFERROR(VLOOKUP("UD",'[1]Informacion '!P:Q,2,FALSE),"")</f>
        <v>Unidad</v>
      </c>
      <c r="D506" s="33">
        <v>250</v>
      </c>
      <c r="E506" s="36">
        <v>900</v>
      </c>
      <c r="F506" s="37">
        <f ca="1">INDIRECT(ADDRESS(ROW(),COLUMN()-2,4))*INDIRECT(ADDRESS(ROW(),COLUMN()-1,4))</f>
        <v>225000</v>
      </c>
    </row>
    <row r="507" spans="1:10" ht="14.1" customHeight="1" x14ac:dyDescent="0.25">
      <c r="A507" s="33" t="s">
        <v>91</v>
      </c>
      <c r="B507" s="34" t="str">
        <f ca="1">IFERROR(INDEX(UNSPSCDes,MATCH(INDIRECT(ADDRESS(ROW(),COLUMN()-1,4)),UNSPSCCode,0)),IF(INDIRECT(ADDRESS(ROW(),COLUMN()-1,4))="32101622","Memoria flash",""))</f>
        <v>Memoria flash</v>
      </c>
      <c r="C507" s="35" t="str">
        <f>IFERROR(VLOOKUP("UD",'[1]Informacion '!P:Q,2,FALSE),"")</f>
        <v>Unidad</v>
      </c>
      <c r="D507" s="33">
        <v>185</v>
      </c>
      <c r="E507" s="36">
        <v>1600</v>
      </c>
      <c r="F507" s="37">
        <f ca="1">INDIRECT(ADDRESS(ROW(),COLUMN()-2,4))*INDIRECT(ADDRESS(ROW(),COLUMN()-1,4))</f>
        <v>296000</v>
      </c>
    </row>
    <row r="508" spans="1:10" ht="14.1" customHeight="1" x14ac:dyDescent="0.25">
      <c r="A508" s="33" t="s">
        <v>117</v>
      </c>
      <c r="B508" s="34" t="str">
        <f ca="1">IFERROR(INDEX(UNSPSCDes,MATCH(INDIRECT(ADDRESS(ROW(),COLUMN()-1,4)),UNSPSCCode,0)),IF(INDIRECT(ADDRESS(ROW(),COLUMN()-1,4))="14111601","Papel o bolsas o cajas de regalo",""))</f>
        <v>Papel o bolsas o cajas de regalo</v>
      </c>
      <c r="C508" s="35" t="str">
        <f>IFERROR(VLOOKUP("UD",'[1]Informacion '!P:Q,2,FALSE),"")</f>
        <v>Unidad</v>
      </c>
      <c r="D508" s="33">
        <v>500</v>
      </c>
      <c r="E508" s="36">
        <v>500</v>
      </c>
      <c r="F508" s="37">
        <f ca="1">INDIRECT(ADDRESS(ROW(),COLUMN()-2,4))*INDIRECT(ADDRESS(ROW(),COLUMN()-1,4))</f>
        <v>250000</v>
      </c>
    </row>
    <row r="509" spans="1:10" ht="14.1" customHeight="1" x14ac:dyDescent="0.25">
      <c r="E509" s="38" t="s">
        <v>48</v>
      </c>
      <c r="F509" s="39">
        <f ca="1">SUM(Table40[MONTO TOTAL ESTIMADO])</f>
        <v>846000</v>
      </c>
      <c r="H509" s="25" t="str">
        <f>C498</f>
        <v>Bienes</v>
      </c>
      <c r="I509" s="25" t="str">
        <f>E498</f>
        <v>Sí</v>
      </c>
      <c r="J509" s="25" t="str">
        <f>D498</f>
        <v>Compras Menores</v>
      </c>
    </row>
    <row r="510" spans="1:10" ht="14.1" customHeight="1" x14ac:dyDescent="0.25"/>
    <row r="511" spans="1:10" ht="34.15" customHeight="1" thickBot="1" x14ac:dyDescent="0.3">
      <c r="A511" s="24" t="s">
        <v>19</v>
      </c>
      <c r="B511" s="24" t="s">
        <v>20</v>
      </c>
      <c r="C511" s="24" t="s">
        <v>21</v>
      </c>
      <c r="D511" s="24" t="s">
        <v>22</v>
      </c>
      <c r="E511" s="24" t="s">
        <v>23</v>
      </c>
      <c r="F511" s="24" t="s">
        <v>24</v>
      </c>
    </row>
    <row r="512" spans="1:10" ht="14.1" customHeight="1" thickBot="1" x14ac:dyDescent="0.3">
      <c r="A512" s="26" t="s">
        <v>113</v>
      </c>
      <c r="B512" s="26" t="s">
        <v>118</v>
      </c>
      <c r="C512" s="26" t="s">
        <v>27</v>
      </c>
      <c r="D512" s="26" t="s">
        <v>28</v>
      </c>
      <c r="E512" s="26" t="s">
        <v>29</v>
      </c>
      <c r="F512" s="26"/>
    </row>
    <row r="513" spans="1:10" ht="14.1" customHeight="1" thickBot="1" x14ac:dyDescent="0.3">
      <c r="A513" s="43" t="s">
        <v>30</v>
      </c>
      <c r="B513" s="27" t="s">
        <v>31</v>
      </c>
      <c r="C513" s="28">
        <v>44652</v>
      </c>
      <c r="D513" s="43" t="s">
        <v>32</v>
      </c>
      <c r="E513" s="29" t="s">
        <v>33</v>
      </c>
      <c r="F513" s="30" t="s">
        <v>34</v>
      </c>
    </row>
    <row r="514" spans="1:10" ht="14.1" customHeight="1" thickBot="1" x14ac:dyDescent="0.3">
      <c r="A514" s="44"/>
      <c r="B514" s="27" t="s">
        <v>35</v>
      </c>
      <c r="C514" s="31">
        <f>IF(C513="","",IF(AND(MONTH(C513)&gt;=1,MONTH(C513)&lt;=3),1,IF(AND(MONTH(C513)&gt;=4,MONTH(C513)&lt;=6),2,IF(AND(MONTH(C513)&gt;=7,MONTH(C513)&lt;=9),3,4))))</f>
        <v>2</v>
      </c>
      <c r="D514" s="44"/>
      <c r="E514" s="29" t="s">
        <v>36</v>
      </c>
      <c r="F514" s="30"/>
    </row>
    <row r="515" spans="1:10" ht="14.1" customHeight="1" thickBot="1" x14ac:dyDescent="0.3">
      <c r="A515" s="44"/>
      <c r="B515" s="27" t="s">
        <v>37</v>
      </c>
      <c r="C515" s="28">
        <v>44742</v>
      </c>
      <c r="D515" s="44"/>
      <c r="E515" s="29" t="s">
        <v>38</v>
      </c>
      <c r="F515" s="30"/>
    </row>
    <row r="516" spans="1:10" ht="14.1" customHeight="1" thickBot="1" x14ac:dyDescent="0.3">
      <c r="A516" s="44"/>
      <c r="B516" s="27" t="s">
        <v>35</v>
      </c>
      <c r="C516" s="31">
        <f>IF(C515="","",IF(AND(MONTH(C515)&gt;=1,MONTH(C515)&lt;=3),1,IF(AND(MONTH(C515)&gt;=4,MONTH(C515)&lt;=6),2,IF(AND(MONTH(C515)&gt;=7,MONTH(C515)&lt;=9),3,4))))</f>
        <v>2</v>
      </c>
      <c r="D516" s="44"/>
      <c r="E516" s="29" t="s">
        <v>39</v>
      </c>
      <c r="F516" s="30"/>
    </row>
    <row r="517" spans="1:10" ht="14.1" customHeight="1" x14ac:dyDescent="0.25"/>
    <row r="518" spans="1:10" ht="14.1" customHeight="1" thickBot="1" x14ac:dyDescent="0.3">
      <c r="A518" s="32" t="s">
        <v>40</v>
      </c>
      <c r="B518" s="32" t="s">
        <v>41</v>
      </c>
      <c r="C518" s="32" t="s">
        <v>42</v>
      </c>
      <c r="D518" s="32" t="s">
        <v>43</v>
      </c>
      <c r="E518" s="32" t="s">
        <v>44</v>
      </c>
      <c r="F518" s="32" t="s">
        <v>45</v>
      </c>
    </row>
    <row r="519" spans="1:10" ht="14.1" customHeight="1" x14ac:dyDescent="0.25">
      <c r="A519" s="33" t="s">
        <v>119</v>
      </c>
      <c r="B519" s="34" t="str">
        <f ca="1">IFERROR(INDEX(UNSPSCDes,MATCH(INDIRECT(ADDRESS(ROW(),COLUMN()-1,4)),UNSPSCCode,0)),IF(INDIRECT(ADDRESS(ROW(),COLUMN()-1,4))="82121505","Impresión promocional o publicitaria",""))</f>
        <v>Impresión promocional o publicitaria</v>
      </c>
      <c r="C519" s="35" t="str">
        <f>IFERROR(VLOOKUP("UD",'[1]Informacion '!P:Q,2,FALSE),"")</f>
        <v>Unidad</v>
      </c>
      <c r="D519" s="33">
        <v>1000</v>
      </c>
      <c r="E519" s="36">
        <v>150</v>
      </c>
      <c r="F519" s="37">
        <f ca="1">INDIRECT(ADDRESS(ROW(),COLUMN()-2,4))*INDIRECT(ADDRESS(ROW(),COLUMN()-1,4))</f>
        <v>150000</v>
      </c>
    </row>
    <row r="520" spans="1:10" ht="14.1" customHeight="1" x14ac:dyDescent="0.25">
      <c r="A520" s="33" t="s">
        <v>120</v>
      </c>
      <c r="B520" s="34" t="str">
        <f ca="1">IFERROR(INDEX(UNSPSCDes,MATCH(INDIRECT(ADDRESS(ROW(),COLUMN()-1,4)),UNSPSCCode,0)),IF(INDIRECT(ADDRESS(ROW(),COLUMN()-1,4))="43191610","Soportes o sujetadores o puestos de comunicación personal",""))</f>
        <v>Soportes o sujetadores o puestos de comunicación personal</v>
      </c>
      <c r="C520" s="35" t="str">
        <f>IFERROR(VLOOKUP("UD",'[1]Informacion '!P:Q,2,FALSE),"")</f>
        <v>Unidad</v>
      </c>
      <c r="D520" s="33">
        <v>250</v>
      </c>
      <c r="E520" s="36">
        <v>100</v>
      </c>
      <c r="F520" s="37">
        <f ca="1">INDIRECT(ADDRESS(ROW(),COLUMN()-2,4))*INDIRECT(ADDRESS(ROW(),COLUMN()-1,4))</f>
        <v>25000</v>
      </c>
    </row>
    <row r="521" spans="1:10" ht="14.1" customHeight="1" x14ac:dyDescent="0.25">
      <c r="A521" s="33" t="s">
        <v>121</v>
      </c>
      <c r="B521" s="34" t="str">
        <f ca="1">IFERROR(INDEX(UNSPSCDes,MATCH(INDIRECT(ADDRESS(ROW(),COLUMN()-1,4)),UNSPSCCode,0)),IF(INDIRECT(ADDRESS(ROW(),COLUMN()-1,4))="55121804","Gafetes o porta gafetes",""))</f>
        <v>Gafetes o porta gafetes</v>
      </c>
      <c r="C521" s="35" t="str">
        <f>IFERROR(VLOOKUP("UD",'[1]Informacion '!P:Q,2,FALSE),"")</f>
        <v>Unidad</v>
      </c>
      <c r="D521" s="33">
        <v>250</v>
      </c>
      <c r="E521" s="36">
        <v>300</v>
      </c>
      <c r="F521" s="37">
        <f ca="1">INDIRECT(ADDRESS(ROW(),COLUMN()-2,4))*INDIRECT(ADDRESS(ROW(),COLUMN()-1,4))</f>
        <v>75000</v>
      </c>
    </row>
    <row r="522" spans="1:10" ht="14.1" customHeight="1" x14ac:dyDescent="0.25">
      <c r="E522" s="38" t="s">
        <v>48</v>
      </c>
      <c r="F522" s="39">
        <f ca="1">SUM(Table41[MONTO TOTAL ESTIMADO])</f>
        <v>250000</v>
      </c>
      <c r="H522" s="25" t="str">
        <f>C512</f>
        <v>Bienes</v>
      </c>
      <c r="I522" s="25" t="str">
        <f>E512</f>
        <v>No</v>
      </c>
      <c r="J522" s="25" t="str">
        <f>D512</f>
        <v>Compras Menores</v>
      </c>
    </row>
    <row r="523" spans="1:10" ht="14.1" customHeight="1" x14ac:dyDescent="0.25"/>
    <row r="524" spans="1:10" ht="34.15" customHeight="1" thickBot="1" x14ac:dyDescent="0.3">
      <c r="A524" s="24" t="s">
        <v>19</v>
      </c>
      <c r="B524" s="24" t="s">
        <v>20</v>
      </c>
      <c r="C524" s="24" t="s">
        <v>21</v>
      </c>
      <c r="D524" s="24" t="s">
        <v>22</v>
      </c>
      <c r="E524" s="24" t="s">
        <v>23</v>
      </c>
      <c r="F524" s="24" t="s">
        <v>24</v>
      </c>
    </row>
    <row r="525" spans="1:10" ht="14.1" customHeight="1" thickBot="1" x14ac:dyDescent="0.3">
      <c r="A525" s="26" t="s">
        <v>113</v>
      </c>
      <c r="B525" s="26" t="s">
        <v>118</v>
      </c>
      <c r="C525" s="26" t="s">
        <v>27</v>
      </c>
      <c r="D525" s="26" t="s">
        <v>53</v>
      </c>
      <c r="E525" s="26" t="s">
        <v>54</v>
      </c>
      <c r="F525" s="26"/>
    </row>
    <row r="526" spans="1:10" ht="14.1" customHeight="1" thickBot="1" x14ac:dyDescent="0.3">
      <c r="A526" s="43" t="s">
        <v>30</v>
      </c>
      <c r="B526" s="27" t="s">
        <v>31</v>
      </c>
      <c r="C526" s="28">
        <v>44749</v>
      </c>
      <c r="D526" s="43" t="s">
        <v>32</v>
      </c>
      <c r="E526" s="29" t="s">
        <v>33</v>
      </c>
      <c r="F526" s="30" t="s">
        <v>34</v>
      </c>
    </row>
    <row r="527" spans="1:10" ht="14.1" customHeight="1" thickBot="1" x14ac:dyDescent="0.3">
      <c r="A527" s="44"/>
      <c r="B527" s="27" t="s">
        <v>35</v>
      </c>
      <c r="C527" s="31">
        <f>IF(C526="","",IF(AND(MONTH(C526)&gt;=1,MONTH(C526)&lt;=3),1,IF(AND(MONTH(C526)&gt;=4,MONTH(C526)&lt;=6),2,IF(AND(MONTH(C526)&gt;=7,MONTH(C526)&lt;=9),3,4))))</f>
        <v>3</v>
      </c>
      <c r="D527" s="44"/>
      <c r="E527" s="29" t="s">
        <v>36</v>
      </c>
      <c r="F527" s="30"/>
    </row>
    <row r="528" spans="1:10" ht="14.1" customHeight="1" thickBot="1" x14ac:dyDescent="0.3">
      <c r="A528" s="44"/>
      <c r="B528" s="27" t="s">
        <v>37</v>
      </c>
      <c r="C528" s="28">
        <v>44834</v>
      </c>
      <c r="D528" s="44"/>
      <c r="E528" s="29" t="s">
        <v>38</v>
      </c>
      <c r="F528" s="30"/>
    </row>
    <row r="529" spans="1:10" ht="14.1" customHeight="1" thickBot="1" x14ac:dyDescent="0.3">
      <c r="A529" s="44"/>
      <c r="B529" s="27" t="s">
        <v>35</v>
      </c>
      <c r="C529" s="31">
        <f>IF(C528="","",IF(AND(MONTH(C528)&gt;=1,MONTH(C528)&lt;=3),1,IF(AND(MONTH(C528)&gt;=4,MONTH(C528)&lt;=6),2,IF(AND(MONTH(C528)&gt;=7,MONTH(C528)&lt;=9),3,4))))</f>
        <v>3</v>
      </c>
      <c r="D529" s="44"/>
      <c r="E529" s="29" t="s">
        <v>39</v>
      </c>
      <c r="F529" s="30"/>
    </row>
    <row r="530" spans="1:10" ht="14.1" customHeight="1" x14ac:dyDescent="0.25"/>
    <row r="531" spans="1:10" ht="14.1" customHeight="1" thickBot="1" x14ac:dyDescent="0.3">
      <c r="A531" s="32" t="s">
        <v>40</v>
      </c>
      <c r="B531" s="32" t="s">
        <v>41</v>
      </c>
      <c r="C531" s="32" t="s">
        <v>42</v>
      </c>
      <c r="D531" s="32" t="s">
        <v>43</v>
      </c>
      <c r="E531" s="32" t="s">
        <v>44</v>
      </c>
      <c r="F531" s="32" t="s">
        <v>45</v>
      </c>
    </row>
    <row r="532" spans="1:10" ht="14.1" customHeight="1" x14ac:dyDescent="0.25">
      <c r="A532" s="33" t="s">
        <v>115</v>
      </c>
      <c r="B532" s="34" t="str">
        <f ca="1">IFERROR(INDEX(UNSPSCDes,MATCH(INDIRECT(ADDRESS(ROW(),COLUMN()-1,4)),UNSPSCCode,0)),IF(INDIRECT(ADDRESS(ROW(),COLUMN()-1,4))="53103001","Camisetas (t-shirts)",""))</f>
        <v>Camisetas (t-shirts)</v>
      </c>
      <c r="C532" s="35" t="str">
        <f>IFERROR(VLOOKUP("UD",'[1]Informacion '!P:Q,2,FALSE),"")</f>
        <v>Unidad</v>
      </c>
      <c r="D532" s="33">
        <v>125</v>
      </c>
      <c r="E532" s="36">
        <v>600</v>
      </c>
      <c r="F532" s="37">
        <f ca="1">INDIRECT(ADDRESS(ROW(),COLUMN()-2,4))*INDIRECT(ADDRESS(ROW(),COLUMN()-1,4))</f>
        <v>75000</v>
      </c>
    </row>
    <row r="533" spans="1:10" ht="14.1" customHeight="1" x14ac:dyDescent="0.25">
      <c r="E533" s="38" t="s">
        <v>48</v>
      </c>
      <c r="F533" s="39">
        <f ca="1">SUM(Table42[MONTO TOTAL ESTIMADO])</f>
        <v>75000</v>
      </c>
      <c r="H533" s="25" t="str">
        <f>C525</f>
        <v>Bienes</v>
      </c>
      <c r="I533" s="25" t="str">
        <f>E525</f>
        <v>Sí</v>
      </c>
      <c r="J533" s="25" t="str">
        <f>D525</f>
        <v>Compras por debajo del Umbral</v>
      </c>
    </row>
    <row r="534" spans="1:10" ht="14.1" customHeight="1" x14ac:dyDescent="0.25"/>
    <row r="535" spans="1:10" ht="34.15" customHeight="1" thickBot="1" x14ac:dyDescent="0.3">
      <c r="A535" s="24" t="s">
        <v>19</v>
      </c>
      <c r="B535" s="24" t="s">
        <v>20</v>
      </c>
      <c r="C535" s="24" t="s">
        <v>21</v>
      </c>
      <c r="D535" s="24" t="s">
        <v>22</v>
      </c>
      <c r="E535" s="24" t="s">
        <v>23</v>
      </c>
      <c r="F535" s="24" t="s">
        <v>24</v>
      </c>
    </row>
    <row r="536" spans="1:10" ht="14.1" customHeight="1" thickBot="1" x14ac:dyDescent="0.3">
      <c r="A536" s="26" t="s">
        <v>122</v>
      </c>
      <c r="B536" s="26" t="s">
        <v>123</v>
      </c>
      <c r="C536" s="26" t="s">
        <v>27</v>
      </c>
      <c r="D536" s="26" t="s">
        <v>78</v>
      </c>
      <c r="E536" s="26" t="s">
        <v>54</v>
      </c>
      <c r="F536" s="26"/>
    </row>
    <row r="537" spans="1:10" ht="14.1" customHeight="1" thickBot="1" x14ac:dyDescent="0.3">
      <c r="A537" s="43" t="s">
        <v>30</v>
      </c>
      <c r="B537" s="27" t="s">
        <v>31</v>
      </c>
      <c r="C537" s="28">
        <v>44652</v>
      </c>
      <c r="D537" s="43" t="s">
        <v>32</v>
      </c>
      <c r="E537" s="29" t="s">
        <v>33</v>
      </c>
      <c r="F537" s="30" t="s">
        <v>34</v>
      </c>
    </row>
    <row r="538" spans="1:10" ht="14.1" customHeight="1" thickBot="1" x14ac:dyDescent="0.3">
      <c r="A538" s="44"/>
      <c r="B538" s="27" t="s">
        <v>35</v>
      </c>
      <c r="C538" s="31">
        <f>IF(C537="","",IF(AND(MONTH(C537)&gt;=1,MONTH(C537)&lt;=3),1,IF(AND(MONTH(C537)&gt;=4,MONTH(C537)&lt;=6),2,IF(AND(MONTH(C537)&gt;=7,MONTH(C537)&lt;=9),3,4))))</f>
        <v>2</v>
      </c>
      <c r="D538" s="44"/>
      <c r="E538" s="29" t="s">
        <v>36</v>
      </c>
      <c r="F538" s="30"/>
    </row>
    <row r="539" spans="1:10" ht="14.1" customHeight="1" thickBot="1" x14ac:dyDescent="0.3">
      <c r="A539" s="44"/>
      <c r="B539" s="27" t="s">
        <v>37</v>
      </c>
      <c r="C539" s="28">
        <v>44742</v>
      </c>
      <c r="D539" s="44"/>
      <c r="E539" s="29" t="s">
        <v>38</v>
      </c>
      <c r="F539" s="30"/>
    </row>
    <row r="540" spans="1:10" ht="14.1" customHeight="1" thickBot="1" x14ac:dyDescent="0.3">
      <c r="A540" s="44"/>
      <c r="B540" s="27" t="s">
        <v>35</v>
      </c>
      <c r="C540" s="31">
        <f>IF(C539="","",IF(AND(MONTH(C539)&gt;=1,MONTH(C539)&lt;=3),1,IF(AND(MONTH(C539)&gt;=4,MONTH(C539)&lt;=6),2,IF(AND(MONTH(C539)&gt;=7,MONTH(C539)&lt;=9),3,4))))</f>
        <v>2</v>
      </c>
      <c r="D540" s="44"/>
      <c r="E540" s="29" t="s">
        <v>39</v>
      </c>
      <c r="F540" s="30"/>
    </row>
    <row r="541" spans="1:10" ht="14.1" customHeight="1" x14ac:dyDescent="0.25"/>
    <row r="542" spans="1:10" ht="14.1" customHeight="1" thickBot="1" x14ac:dyDescent="0.3">
      <c r="A542" s="32" t="s">
        <v>40</v>
      </c>
      <c r="B542" s="32" t="s">
        <v>41</v>
      </c>
      <c r="C542" s="32" t="s">
        <v>42</v>
      </c>
      <c r="D542" s="32" t="s">
        <v>43</v>
      </c>
      <c r="E542" s="32" t="s">
        <v>44</v>
      </c>
      <c r="F542" s="32" t="s">
        <v>45</v>
      </c>
    </row>
    <row r="543" spans="1:10" ht="14.1" customHeight="1" x14ac:dyDescent="0.25">
      <c r="A543" s="33" t="s">
        <v>115</v>
      </c>
      <c r="B543" s="34" t="str">
        <f ca="1">IFERROR(INDEX(UNSPSCDes,MATCH(INDIRECT(ADDRESS(ROW(),COLUMN()-1,4)),UNSPSCCode,0)),IF(INDIRECT(ADDRESS(ROW(),COLUMN()-1,4))="53103001","Camisetas (t-shirts)",""))</f>
        <v>Camisetas (t-shirts)</v>
      </c>
      <c r="C543" s="35" t="str">
        <f>IFERROR(VLOOKUP("UD",'[1]Informacion '!P:Q,2,FALSE),"")</f>
        <v>Unidad</v>
      </c>
      <c r="D543" s="33">
        <v>20</v>
      </c>
      <c r="E543" s="36">
        <v>425</v>
      </c>
      <c r="F543" s="37">
        <f t="shared" ref="F543:F548" ca="1" si="12">INDIRECT(ADDRESS(ROW(),COLUMN()-2,4))*INDIRECT(ADDRESS(ROW(),COLUMN()-1,4))</f>
        <v>8500</v>
      </c>
    </row>
    <row r="544" spans="1:10" ht="14.1" customHeight="1" x14ac:dyDescent="0.25">
      <c r="A544" s="33" t="s">
        <v>124</v>
      </c>
      <c r="B544" s="34" t="str">
        <f ca="1">IFERROR(INDEX(UNSPSCDes,MATCH(INDIRECT(ADDRESS(ROW(),COLUMN()-1,4)),UNSPSCCode,0)),IF(INDIRECT(ADDRESS(ROW(),COLUMN()-1,4))="82121510","Impresión textil",""))</f>
        <v>Impresión textil</v>
      </c>
      <c r="C544" s="35" t="str">
        <f>IFERROR(VLOOKUP("UD",'[1]Informacion '!P:Q,2,FALSE),"")</f>
        <v>Unidad</v>
      </c>
      <c r="D544" s="33">
        <v>75</v>
      </c>
      <c r="E544" s="36">
        <v>80</v>
      </c>
      <c r="F544" s="37">
        <f t="shared" ca="1" si="12"/>
        <v>6000</v>
      </c>
    </row>
    <row r="545" spans="1:10" ht="14.1" customHeight="1" x14ac:dyDescent="0.25">
      <c r="A545" s="33" t="s">
        <v>125</v>
      </c>
      <c r="B545" s="34" t="str">
        <f ca="1">IFERROR(INDEX(UNSPSCDes,MATCH(INDIRECT(ADDRESS(ROW(),COLUMN()-1,4)),UNSPSCCode,0)),IF(INDIRECT(ADDRESS(ROW(),COLUMN()-1,4))="53101602","Camisas para hombre",""))</f>
        <v>Camisas para hombre</v>
      </c>
      <c r="C545" s="35" t="str">
        <f>IFERROR(VLOOKUP("UD",'[1]Informacion '!P:Q,2,FALSE),"")</f>
        <v>Unidad</v>
      </c>
      <c r="D545" s="33">
        <v>40</v>
      </c>
      <c r="E545" s="36">
        <v>960</v>
      </c>
      <c r="F545" s="37">
        <f t="shared" ca="1" si="12"/>
        <v>38400</v>
      </c>
    </row>
    <row r="546" spans="1:10" ht="14.1" customHeight="1" x14ac:dyDescent="0.25">
      <c r="A546" s="33" t="s">
        <v>126</v>
      </c>
      <c r="B546" s="34" t="str">
        <f ca="1">IFERROR(INDEX(UNSPSCDes,MATCH(INDIRECT(ADDRESS(ROW(),COLUMN()-1,4)),UNSPSCCode,0)),IF(INDIRECT(ADDRESS(ROW(),COLUMN()-1,4))="53101502","Pantalones largos o cortos o pantalonetas para hombre",""))</f>
        <v>Pantalones largos o cortos o pantalonetas para hombre</v>
      </c>
      <c r="C546" s="35" t="str">
        <f>IFERROR(VLOOKUP("UD",'[1]Informacion '!P:Q,2,FALSE),"")</f>
        <v>Unidad</v>
      </c>
      <c r="D546" s="33">
        <v>30</v>
      </c>
      <c r="E546" s="36">
        <v>1250</v>
      </c>
      <c r="F546" s="37">
        <f t="shared" ca="1" si="12"/>
        <v>37500</v>
      </c>
    </row>
    <row r="547" spans="1:10" ht="14.1" customHeight="1" x14ac:dyDescent="0.25">
      <c r="A547" s="33" t="s">
        <v>126</v>
      </c>
      <c r="B547" s="34" t="str">
        <f ca="1">IFERROR(INDEX(UNSPSCDes,MATCH(INDIRECT(ADDRESS(ROW(),COLUMN()-1,4)),UNSPSCCode,0)),IF(INDIRECT(ADDRESS(ROW(),COLUMN()-1,4))="53101502","Pantalones largos o cortos o pantalonetas para hombre",""))</f>
        <v>Pantalones largos o cortos o pantalonetas para hombre</v>
      </c>
      <c r="C547" s="35" t="str">
        <f>IFERROR(VLOOKUP("UD",'[1]Informacion '!P:Q,2,FALSE),"")</f>
        <v>Unidad</v>
      </c>
      <c r="D547" s="33">
        <v>15</v>
      </c>
      <c r="E547" s="36">
        <v>800</v>
      </c>
      <c r="F547" s="37">
        <f t="shared" ca="1" si="12"/>
        <v>12000</v>
      </c>
    </row>
    <row r="548" spans="1:10" ht="14.1" customHeight="1" x14ac:dyDescent="0.25">
      <c r="A548" s="33" t="s">
        <v>127</v>
      </c>
      <c r="B548" s="34" t="str">
        <f ca="1">IFERROR(INDEX(UNSPSCDes,MATCH(INDIRECT(ADDRESS(ROW(),COLUMN()-1,4)),UNSPSCCode,0)),IF(INDIRECT(ADDRESS(ROW(),COLUMN()-1,4))="53102710","Uniformes corporativos",""))</f>
        <v>Uniformes corporativos</v>
      </c>
      <c r="C548" s="35" t="str">
        <f>IFERROR(VLOOKUP("UD",'[1]Informacion '!P:Q,2,FALSE),"")</f>
        <v>Unidad</v>
      </c>
      <c r="D548" s="33">
        <v>100</v>
      </c>
      <c r="E548" s="36">
        <v>25000</v>
      </c>
      <c r="F548" s="37">
        <f t="shared" ca="1" si="12"/>
        <v>2500000</v>
      </c>
    </row>
    <row r="549" spans="1:10" ht="14.1" customHeight="1" x14ac:dyDescent="0.25">
      <c r="E549" s="38" t="s">
        <v>48</v>
      </c>
      <c r="F549" s="39">
        <f ca="1">SUM(Table43[MONTO TOTAL ESTIMADO])</f>
        <v>2602400</v>
      </c>
      <c r="H549" s="25" t="str">
        <f>C536</f>
        <v>Bienes</v>
      </c>
      <c r="I549" s="25" t="str">
        <f>E536</f>
        <v>Sí</v>
      </c>
      <c r="J549" s="25" t="str">
        <f>D536</f>
        <v>Comparacion de Precios</v>
      </c>
    </row>
    <row r="550" spans="1:10" ht="14.1" customHeight="1" x14ac:dyDescent="0.25"/>
    <row r="551" spans="1:10" ht="34.15" customHeight="1" thickBot="1" x14ac:dyDescent="0.3">
      <c r="A551" s="24" t="s">
        <v>19</v>
      </c>
      <c r="B551" s="24" t="s">
        <v>20</v>
      </c>
      <c r="C551" s="24" t="s">
        <v>21</v>
      </c>
      <c r="D551" s="24" t="s">
        <v>22</v>
      </c>
      <c r="E551" s="24" t="s">
        <v>23</v>
      </c>
      <c r="F551" s="24" t="s">
        <v>24</v>
      </c>
    </row>
    <row r="552" spans="1:10" ht="14.1" customHeight="1" thickBot="1" x14ac:dyDescent="0.3">
      <c r="A552" s="26" t="s">
        <v>122</v>
      </c>
      <c r="B552" s="26" t="s">
        <v>128</v>
      </c>
      <c r="C552" s="26" t="s">
        <v>27</v>
      </c>
      <c r="D552" s="26" t="s">
        <v>53</v>
      </c>
      <c r="E552" s="26" t="s">
        <v>54</v>
      </c>
      <c r="F552" s="26"/>
    </row>
    <row r="553" spans="1:10" ht="14.1" customHeight="1" thickBot="1" x14ac:dyDescent="0.3">
      <c r="A553" s="43" t="s">
        <v>30</v>
      </c>
      <c r="B553" s="27" t="s">
        <v>31</v>
      </c>
      <c r="C553" s="28">
        <v>44835</v>
      </c>
      <c r="D553" s="43" t="s">
        <v>32</v>
      </c>
      <c r="E553" s="29" t="s">
        <v>33</v>
      </c>
      <c r="F553" s="30" t="s">
        <v>34</v>
      </c>
    </row>
    <row r="554" spans="1:10" ht="14.1" customHeight="1" thickBot="1" x14ac:dyDescent="0.3">
      <c r="A554" s="44"/>
      <c r="B554" s="27" t="s">
        <v>35</v>
      </c>
      <c r="C554" s="31">
        <f>IF(C553="","",IF(AND(MONTH(C553)&gt;=1,MONTH(C553)&lt;=3),1,IF(AND(MONTH(C553)&gt;=4,MONTH(C553)&lt;=6),2,IF(AND(MONTH(C553)&gt;=7,MONTH(C553)&lt;=9),3,4))))</f>
        <v>4</v>
      </c>
      <c r="D554" s="44"/>
      <c r="E554" s="29" t="s">
        <v>36</v>
      </c>
      <c r="F554" s="30"/>
    </row>
    <row r="555" spans="1:10" ht="14.1" customHeight="1" thickBot="1" x14ac:dyDescent="0.3">
      <c r="A555" s="44"/>
      <c r="B555" s="27" t="s">
        <v>37</v>
      </c>
      <c r="C555" s="28">
        <v>44926</v>
      </c>
      <c r="D555" s="44"/>
      <c r="E555" s="29" t="s">
        <v>38</v>
      </c>
      <c r="F555" s="30"/>
    </row>
    <row r="556" spans="1:10" ht="14.1" customHeight="1" thickBot="1" x14ac:dyDescent="0.3">
      <c r="A556" s="44"/>
      <c r="B556" s="27" t="s">
        <v>35</v>
      </c>
      <c r="C556" s="31">
        <f>IF(C555="","",IF(AND(MONTH(C555)&gt;=1,MONTH(C555)&lt;=3),1,IF(AND(MONTH(C555)&gt;=4,MONTH(C555)&lt;=6),2,IF(AND(MONTH(C555)&gt;=7,MONTH(C555)&lt;=9),3,4))))</f>
        <v>4</v>
      </c>
      <c r="D556" s="44"/>
      <c r="E556" s="29" t="s">
        <v>39</v>
      </c>
      <c r="F556" s="30"/>
    </row>
    <row r="557" spans="1:10" ht="14.1" customHeight="1" x14ac:dyDescent="0.25"/>
    <row r="558" spans="1:10" ht="14.1" customHeight="1" thickBot="1" x14ac:dyDescent="0.3">
      <c r="A558" s="32" t="s">
        <v>40</v>
      </c>
      <c r="B558" s="32" t="s">
        <v>41</v>
      </c>
      <c r="C558" s="32" t="s">
        <v>42</v>
      </c>
      <c r="D558" s="32" t="s">
        <v>43</v>
      </c>
      <c r="E558" s="32" t="s">
        <v>44</v>
      </c>
      <c r="F558" s="32" t="s">
        <v>45</v>
      </c>
    </row>
    <row r="559" spans="1:10" ht="14.1" customHeight="1" x14ac:dyDescent="0.25">
      <c r="A559" s="33" t="s">
        <v>129</v>
      </c>
      <c r="B559" s="34" t="str">
        <f ca="1">IFERROR(INDEX(UNSPSCDes,MATCH(INDIRECT(ADDRESS(ROW(),COLUMN()-1,4)),UNSPSCCode,0)),IF(INDIRECT(ADDRESS(ROW(),COLUMN()-1,4))="53101604","Camisas o blusas para mujer",""))</f>
        <v>Camisas o blusas para mujer</v>
      </c>
      <c r="C559" s="35" t="str">
        <f>IFERROR(VLOOKUP("UD",'[1]Informacion '!P:Q,2,FALSE),"")</f>
        <v>Unidad</v>
      </c>
      <c r="D559" s="33">
        <v>12</v>
      </c>
      <c r="E559" s="36">
        <v>950</v>
      </c>
      <c r="F559" s="37">
        <f ca="1">INDIRECT(ADDRESS(ROW(),COLUMN()-2,4))*INDIRECT(ADDRESS(ROW(),COLUMN()-1,4))</f>
        <v>11400</v>
      </c>
    </row>
    <row r="560" spans="1:10" ht="14.1" customHeight="1" x14ac:dyDescent="0.25">
      <c r="A560" s="33" t="s">
        <v>130</v>
      </c>
      <c r="B560" s="34" t="str">
        <f ca="1">IFERROR(INDEX(UNSPSCDes,MATCH(INDIRECT(ADDRESS(ROW(),COLUMN()-1,4)),UNSPSCCode,0)),IF(INDIRECT(ADDRESS(ROW(),COLUMN()-1,4))="53101504","Pantalones largos o cortos o pantalonetas para mujer",""))</f>
        <v>Pantalones largos o cortos o pantalonetas para mujer</v>
      </c>
      <c r="C560" s="35" t="str">
        <f>IFERROR(VLOOKUP("UD",'[1]Informacion '!P:Q,2,FALSE),"")</f>
        <v>Unidad</v>
      </c>
      <c r="D560" s="33">
        <v>12</v>
      </c>
      <c r="E560" s="36">
        <v>1300</v>
      </c>
      <c r="F560" s="37">
        <f ca="1">INDIRECT(ADDRESS(ROW(),COLUMN()-2,4))*INDIRECT(ADDRESS(ROW(),COLUMN()-1,4))</f>
        <v>15600</v>
      </c>
    </row>
    <row r="561" spans="1:10" ht="14.1" customHeight="1" x14ac:dyDescent="0.25">
      <c r="A561" s="33" t="s">
        <v>131</v>
      </c>
      <c r="B561" s="34" t="str">
        <f ca="1">IFERROR(INDEX(UNSPSCDes,MATCH(INDIRECT(ADDRESS(ROW(),COLUMN()-1,4)),UNSPSCCode,0)),IF(INDIRECT(ADDRESS(ROW(),COLUMN()-1,4))="53101804","Abrigos o chaquetas para mujer",""))</f>
        <v>Abrigos o chaquetas para mujer</v>
      </c>
      <c r="C561" s="35" t="str">
        <f>IFERROR(VLOOKUP("UD",'[1]Informacion '!P:Q,2,FALSE),"")</f>
        <v>Unidad</v>
      </c>
      <c r="D561" s="33">
        <v>12</v>
      </c>
      <c r="E561" s="36">
        <v>500</v>
      </c>
      <c r="F561" s="37">
        <f ca="1">INDIRECT(ADDRESS(ROW(),COLUMN()-2,4))*INDIRECT(ADDRESS(ROW(),COLUMN()-1,4))</f>
        <v>6000</v>
      </c>
    </row>
    <row r="562" spans="1:10" ht="14.1" customHeight="1" x14ac:dyDescent="0.25">
      <c r="E562" s="38" t="s">
        <v>48</v>
      </c>
      <c r="F562" s="39">
        <f ca="1">SUM(Table44[MONTO TOTAL ESTIMADO])</f>
        <v>33000</v>
      </c>
      <c r="H562" s="25" t="str">
        <f>C552</f>
        <v>Bienes</v>
      </c>
      <c r="I562" s="25" t="str">
        <f>E552</f>
        <v>Sí</v>
      </c>
      <c r="J562" s="25" t="str">
        <f>D552</f>
        <v>Compras por debajo del Umbral</v>
      </c>
    </row>
    <row r="563" spans="1:10" ht="14.1" customHeight="1" x14ac:dyDescent="0.25"/>
    <row r="564" spans="1:10" ht="34.15" customHeight="1" thickBot="1" x14ac:dyDescent="0.3">
      <c r="A564" s="24" t="s">
        <v>19</v>
      </c>
      <c r="B564" s="24" t="s">
        <v>20</v>
      </c>
      <c r="C564" s="24" t="s">
        <v>21</v>
      </c>
      <c r="D564" s="24" t="s">
        <v>22</v>
      </c>
      <c r="E564" s="24" t="s">
        <v>23</v>
      </c>
      <c r="F564" s="24" t="s">
        <v>24</v>
      </c>
    </row>
    <row r="565" spans="1:10" ht="14.1" customHeight="1" thickBot="1" x14ac:dyDescent="0.3">
      <c r="A565" s="26" t="s">
        <v>132</v>
      </c>
      <c r="B565" s="26" t="s">
        <v>133</v>
      </c>
      <c r="C565" s="26" t="s">
        <v>64</v>
      </c>
      <c r="D565" s="26" t="s">
        <v>78</v>
      </c>
      <c r="E565" s="26" t="s">
        <v>54</v>
      </c>
      <c r="F565" s="26"/>
    </row>
    <row r="566" spans="1:10" ht="14.1" customHeight="1" thickBot="1" x14ac:dyDescent="0.3">
      <c r="A566" s="43" t="s">
        <v>30</v>
      </c>
      <c r="B566" s="27" t="s">
        <v>31</v>
      </c>
      <c r="C566" s="28">
        <v>44576</v>
      </c>
      <c r="D566" s="43" t="s">
        <v>32</v>
      </c>
      <c r="E566" s="29" t="s">
        <v>33</v>
      </c>
      <c r="F566" s="30" t="s">
        <v>34</v>
      </c>
    </row>
    <row r="567" spans="1:10" ht="14.1" customHeight="1" thickBot="1" x14ac:dyDescent="0.3">
      <c r="A567" s="44"/>
      <c r="B567" s="27" t="s">
        <v>35</v>
      </c>
      <c r="C567" s="31">
        <f>IF(C566="","",IF(AND(MONTH(C566)&gt;=1,MONTH(C566)&lt;=3),1,IF(AND(MONTH(C566)&gt;=4,MONTH(C566)&lt;=6),2,IF(AND(MONTH(C566)&gt;=7,MONTH(C566)&lt;=9),3,4))))</f>
        <v>1</v>
      </c>
      <c r="D567" s="44"/>
      <c r="E567" s="29" t="s">
        <v>36</v>
      </c>
      <c r="F567" s="30"/>
    </row>
    <row r="568" spans="1:10" ht="14.1" customHeight="1" thickBot="1" x14ac:dyDescent="0.3">
      <c r="A568" s="44"/>
      <c r="B568" s="27" t="s">
        <v>37</v>
      </c>
      <c r="C568" s="28">
        <v>44651</v>
      </c>
      <c r="D568" s="44"/>
      <c r="E568" s="29" t="s">
        <v>38</v>
      </c>
      <c r="F568" s="30"/>
    </row>
    <row r="569" spans="1:10" ht="14.1" customHeight="1" thickBot="1" x14ac:dyDescent="0.3">
      <c r="A569" s="44"/>
      <c r="B569" s="27" t="s">
        <v>35</v>
      </c>
      <c r="C569" s="31">
        <f>IF(C568="","",IF(AND(MONTH(C568)&gt;=1,MONTH(C568)&lt;=3),1,IF(AND(MONTH(C568)&gt;=4,MONTH(C568)&lt;=6),2,IF(AND(MONTH(C568)&gt;=7,MONTH(C568)&lt;=9),3,4))))</f>
        <v>1</v>
      </c>
      <c r="D569" s="44"/>
      <c r="E569" s="29" t="s">
        <v>39</v>
      </c>
      <c r="F569" s="30"/>
    </row>
    <row r="570" spans="1:10" ht="14.1" customHeight="1" x14ac:dyDescent="0.25"/>
    <row r="571" spans="1:10" ht="14.1" customHeight="1" thickBot="1" x14ac:dyDescent="0.3">
      <c r="A571" s="32" t="s">
        <v>40</v>
      </c>
      <c r="B571" s="32" t="s">
        <v>41</v>
      </c>
      <c r="C571" s="32" t="s">
        <v>42</v>
      </c>
      <c r="D571" s="32" t="s">
        <v>43</v>
      </c>
      <c r="E571" s="32" t="s">
        <v>44</v>
      </c>
      <c r="F571" s="32" t="s">
        <v>45</v>
      </c>
    </row>
    <row r="572" spans="1:10" ht="14.1" customHeight="1" x14ac:dyDescent="0.25">
      <c r="A572" s="33" t="s">
        <v>134</v>
      </c>
      <c r="B572" s="34" t="str">
        <f ca="1">IFERROR(INDEX(UNSPSCDes,MATCH(INDIRECT(ADDRESS(ROW(),COLUMN()-1,4)),UNSPSCCode,0)),IF(INDIRECT(ADDRESS(ROW(),COLUMN()-1,4))="90101802","Servicios de comidas a domicilio",""))</f>
        <v>Servicios de comidas a domicilio</v>
      </c>
      <c r="C572" s="35" t="str">
        <f>IFERROR(VLOOKUP("UD",'[1]Informacion '!P:Q,2,FALSE),"")</f>
        <v>Unidad</v>
      </c>
      <c r="D572" s="33">
        <v>1</v>
      </c>
      <c r="E572" s="36">
        <v>600000</v>
      </c>
      <c r="F572" s="37">
        <f ca="1">INDIRECT(ADDRESS(ROW(),COLUMN()-2,4))*INDIRECT(ADDRESS(ROW(),COLUMN()-1,4))</f>
        <v>600000</v>
      </c>
    </row>
    <row r="573" spans="1:10" ht="14.1" customHeight="1" x14ac:dyDescent="0.25">
      <c r="A573" s="33" t="s">
        <v>134</v>
      </c>
      <c r="B573" s="34" t="str">
        <f ca="1">IFERROR(INDEX(UNSPSCDes,MATCH(INDIRECT(ADDRESS(ROW(),COLUMN()-1,4)),UNSPSCCode,0)),IF(INDIRECT(ADDRESS(ROW(),COLUMN()-1,4))="90101802","Servicios de comidas a domicilio",""))</f>
        <v>Servicios de comidas a domicilio</v>
      </c>
      <c r="C573" s="35" t="str">
        <f>IFERROR(VLOOKUP("UD",'[1]Informacion '!P:Q,2,FALSE),"")</f>
        <v>Unidad</v>
      </c>
      <c r="D573" s="33">
        <v>1</v>
      </c>
      <c r="E573" s="36">
        <v>4400000</v>
      </c>
      <c r="F573" s="37">
        <f ca="1">INDIRECT(ADDRESS(ROW(),COLUMN()-2,4))*INDIRECT(ADDRESS(ROW(),COLUMN()-1,4))</f>
        <v>4400000</v>
      </c>
    </row>
    <row r="574" spans="1:10" ht="14.1" customHeight="1" x14ac:dyDescent="0.25">
      <c r="E574" s="38" t="s">
        <v>48</v>
      </c>
      <c r="F574" s="39">
        <f ca="1">SUM(Table45[MONTO TOTAL ESTIMADO])</f>
        <v>5000000</v>
      </c>
      <c r="H574" s="25" t="str">
        <f>C565</f>
        <v>Servicios</v>
      </c>
      <c r="I574" s="25" t="str">
        <f>E565</f>
        <v>Sí</v>
      </c>
      <c r="J574" s="25" t="str">
        <f>D565</f>
        <v>Comparacion de Precios</v>
      </c>
    </row>
    <row r="575" spans="1:10" ht="14.1" customHeight="1" x14ac:dyDescent="0.25"/>
    <row r="576" spans="1:10" ht="34.15" customHeight="1" thickBot="1" x14ac:dyDescent="0.3">
      <c r="A576" s="24" t="s">
        <v>19</v>
      </c>
      <c r="B576" s="24" t="s">
        <v>20</v>
      </c>
      <c r="C576" s="24" t="s">
        <v>21</v>
      </c>
      <c r="D576" s="24" t="s">
        <v>22</v>
      </c>
      <c r="E576" s="24" t="s">
        <v>23</v>
      </c>
      <c r="F576" s="24" t="s">
        <v>24</v>
      </c>
    </row>
    <row r="577" spans="1:10" ht="14.1" customHeight="1" thickBot="1" x14ac:dyDescent="0.3">
      <c r="A577" s="26" t="s">
        <v>135</v>
      </c>
      <c r="B577" s="26" t="s">
        <v>136</v>
      </c>
      <c r="C577" s="26" t="s">
        <v>27</v>
      </c>
      <c r="D577" s="26" t="s">
        <v>78</v>
      </c>
      <c r="E577" s="26" t="s">
        <v>29</v>
      </c>
      <c r="F577" s="26"/>
    </row>
    <row r="578" spans="1:10" ht="14.1" customHeight="1" thickBot="1" x14ac:dyDescent="0.3">
      <c r="A578" s="43" t="s">
        <v>30</v>
      </c>
      <c r="B578" s="27" t="s">
        <v>31</v>
      </c>
      <c r="C578" s="28">
        <v>44652</v>
      </c>
      <c r="D578" s="43" t="s">
        <v>32</v>
      </c>
      <c r="E578" s="29" t="s">
        <v>33</v>
      </c>
      <c r="F578" s="30" t="s">
        <v>34</v>
      </c>
    </row>
    <row r="579" spans="1:10" ht="14.1" customHeight="1" thickBot="1" x14ac:dyDescent="0.3">
      <c r="A579" s="44"/>
      <c r="B579" s="27" t="s">
        <v>35</v>
      </c>
      <c r="C579" s="31">
        <f>IF(C578="","",IF(AND(MONTH(C578)&gt;=1,MONTH(C578)&lt;=3),1,IF(AND(MONTH(C578)&gt;=4,MONTH(C578)&lt;=6),2,IF(AND(MONTH(C578)&gt;=7,MONTH(C578)&lt;=9),3,4))))</f>
        <v>2</v>
      </c>
      <c r="D579" s="44"/>
      <c r="E579" s="29" t="s">
        <v>36</v>
      </c>
      <c r="F579" s="30"/>
    </row>
    <row r="580" spans="1:10" ht="14.1" customHeight="1" thickBot="1" x14ac:dyDescent="0.3">
      <c r="A580" s="44"/>
      <c r="B580" s="27" t="s">
        <v>37</v>
      </c>
      <c r="C580" s="28">
        <v>44742</v>
      </c>
      <c r="D580" s="44"/>
      <c r="E580" s="29" t="s">
        <v>38</v>
      </c>
      <c r="F580" s="30"/>
    </row>
    <row r="581" spans="1:10" ht="14.1" customHeight="1" thickBot="1" x14ac:dyDescent="0.3">
      <c r="A581" s="44"/>
      <c r="B581" s="27" t="s">
        <v>35</v>
      </c>
      <c r="C581" s="31">
        <f>IF(C580="","",IF(AND(MONTH(C580)&gt;=1,MONTH(C580)&lt;=3),1,IF(AND(MONTH(C580)&gt;=4,MONTH(C580)&lt;=6),2,IF(AND(MONTH(C580)&gt;=7,MONTH(C580)&lt;=9),3,4))))</f>
        <v>2</v>
      </c>
      <c r="D581" s="44"/>
      <c r="E581" s="29" t="s">
        <v>39</v>
      </c>
      <c r="F581" s="30"/>
    </row>
    <row r="582" spans="1:10" ht="14.1" customHeight="1" x14ac:dyDescent="0.25"/>
    <row r="583" spans="1:10" ht="14.1" customHeight="1" thickBot="1" x14ac:dyDescent="0.3">
      <c r="A583" s="32" t="s">
        <v>40</v>
      </c>
      <c r="B583" s="32" t="s">
        <v>41</v>
      </c>
      <c r="C583" s="32" t="s">
        <v>42</v>
      </c>
      <c r="D583" s="32" t="s">
        <v>43</v>
      </c>
      <c r="E583" s="32" t="s">
        <v>44</v>
      </c>
      <c r="F583" s="32" t="s">
        <v>45</v>
      </c>
    </row>
    <row r="584" spans="1:10" ht="14.1" customHeight="1" x14ac:dyDescent="0.25">
      <c r="A584" s="33" t="s">
        <v>137</v>
      </c>
      <c r="B584" s="34" t="str">
        <f ca="1">IFERROR(INDEX(UNSPSCDes,MATCH(INDIRECT(ADDRESS(ROW(),COLUMN()-1,4)),UNSPSCCode,0)),IF(INDIRECT(ADDRESS(ROW(),COLUMN()-1,4))="14111608","Certificados de regalo",""))</f>
        <v>Certificados de regalo</v>
      </c>
      <c r="C584" s="35" t="str">
        <f>IFERROR(VLOOKUP("UD",'[1]Informacion '!P:Q,2,FALSE),"")</f>
        <v>Unidad</v>
      </c>
      <c r="D584" s="33">
        <v>1</v>
      </c>
      <c r="E584" s="36">
        <v>1000000</v>
      </c>
      <c r="F584" s="37">
        <f ca="1">INDIRECT(ADDRESS(ROW(),COLUMN()-2,4))*INDIRECT(ADDRESS(ROW(),COLUMN()-1,4))</f>
        <v>1000000</v>
      </c>
    </row>
    <row r="585" spans="1:10" ht="14.1" customHeight="1" x14ac:dyDescent="0.25">
      <c r="A585" s="33" t="s">
        <v>137</v>
      </c>
      <c r="B585" s="34" t="str">
        <f ca="1">IFERROR(INDEX(UNSPSCDes,MATCH(INDIRECT(ADDRESS(ROW(),COLUMN()-1,4)),UNSPSCCode,0)),IF(INDIRECT(ADDRESS(ROW(),COLUMN()-1,4))="14111608","Certificados de regalo",""))</f>
        <v>Certificados de regalo</v>
      </c>
      <c r="C585" s="35" t="str">
        <f>IFERROR(VLOOKUP("UD",'[1]Informacion '!P:Q,2,FALSE),"")</f>
        <v>Unidad</v>
      </c>
      <c r="D585" s="33">
        <v>1</v>
      </c>
      <c r="E585" s="36">
        <v>1000000</v>
      </c>
      <c r="F585" s="37">
        <f ca="1">INDIRECT(ADDRESS(ROW(),COLUMN()-2,4))*INDIRECT(ADDRESS(ROW(),COLUMN()-1,4))</f>
        <v>1000000</v>
      </c>
    </row>
    <row r="586" spans="1:10" ht="14.1" customHeight="1" x14ac:dyDescent="0.25">
      <c r="E586" s="38" t="s">
        <v>48</v>
      </c>
      <c r="F586" s="39">
        <f ca="1">SUM(Table46[MONTO TOTAL ESTIMADO])</f>
        <v>2000000</v>
      </c>
      <c r="H586" s="25" t="str">
        <f>C577</f>
        <v>Bienes</v>
      </c>
      <c r="I586" s="25" t="str">
        <f>E577</f>
        <v>No</v>
      </c>
      <c r="J586" s="25" t="str">
        <f>D577</f>
        <v>Comparacion de Precios</v>
      </c>
    </row>
    <row r="587" spans="1:10" ht="14.1" customHeight="1" x14ac:dyDescent="0.25"/>
    <row r="588" spans="1:10" ht="34.15" customHeight="1" thickBot="1" x14ac:dyDescent="0.3">
      <c r="A588" s="24" t="s">
        <v>19</v>
      </c>
      <c r="B588" s="24" t="s">
        <v>20</v>
      </c>
      <c r="C588" s="24" t="s">
        <v>21</v>
      </c>
      <c r="D588" s="24" t="s">
        <v>22</v>
      </c>
      <c r="E588" s="24" t="s">
        <v>23</v>
      </c>
      <c r="F588" s="24" t="s">
        <v>24</v>
      </c>
    </row>
    <row r="589" spans="1:10" ht="14.1" customHeight="1" thickBot="1" x14ac:dyDescent="0.3">
      <c r="A589" s="26" t="s">
        <v>135</v>
      </c>
      <c r="B589" s="26" t="s">
        <v>138</v>
      </c>
      <c r="C589" s="26" t="s">
        <v>27</v>
      </c>
      <c r="D589" s="26" t="s">
        <v>78</v>
      </c>
      <c r="E589" s="26" t="s">
        <v>29</v>
      </c>
      <c r="F589" s="26"/>
    </row>
    <row r="590" spans="1:10" ht="14.1" customHeight="1" thickBot="1" x14ac:dyDescent="0.3">
      <c r="A590" s="43" t="s">
        <v>30</v>
      </c>
      <c r="B590" s="27" t="s">
        <v>31</v>
      </c>
      <c r="C590" s="28">
        <v>44835</v>
      </c>
      <c r="D590" s="43" t="s">
        <v>32</v>
      </c>
      <c r="E590" s="29" t="s">
        <v>33</v>
      </c>
      <c r="F590" s="30" t="s">
        <v>34</v>
      </c>
    </row>
    <row r="591" spans="1:10" ht="14.1" customHeight="1" thickBot="1" x14ac:dyDescent="0.3">
      <c r="A591" s="44"/>
      <c r="B591" s="27" t="s">
        <v>35</v>
      </c>
      <c r="C591" s="31">
        <f>IF(C590="","",IF(AND(MONTH(C590)&gt;=1,MONTH(C590)&lt;=3),1,IF(AND(MONTH(C590)&gt;=4,MONTH(C590)&lt;=6),2,IF(AND(MONTH(C590)&gt;=7,MONTH(C590)&lt;=9),3,4))))</f>
        <v>4</v>
      </c>
      <c r="D591" s="44"/>
      <c r="E591" s="29" t="s">
        <v>36</v>
      </c>
      <c r="F591" s="30"/>
    </row>
    <row r="592" spans="1:10" ht="14.1" customHeight="1" thickBot="1" x14ac:dyDescent="0.3">
      <c r="A592" s="44"/>
      <c r="B592" s="27" t="s">
        <v>37</v>
      </c>
      <c r="C592" s="28">
        <v>44926</v>
      </c>
      <c r="D592" s="44"/>
      <c r="E592" s="29" t="s">
        <v>38</v>
      </c>
      <c r="F592" s="30"/>
    </row>
    <row r="593" spans="1:10" ht="14.1" customHeight="1" thickBot="1" x14ac:dyDescent="0.3">
      <c r="A593" s="44"/>
      <c r="B593" s="27" t="s">
        <v>35</v>
      </c>
      <c r="C593" s="31">
        <f>IF(C592="","",IF(AND(MONTH(C592)&gt;=1,MONTH(C592)&lt;=3),1,IF(AND(MONTH(C592)&gt;=4,MONTH(C592)&lt;=6),2,IF(AND(MONTH(C592)&gt;=7,MONTH(C592)&lt;=9),3,4))))</f>
        <v>4</v>
      </c>
      <c r="D593" s="44"/>
      <c r="E593" s="29" t="s">
        <v>39</v>
      </c>
      <c r="F593" s="30"/>
    </row>
    <row r="594" spans="1:10" ht="14.1" customHeight="1" x14ac:dyDescent="0.25"/>
    <row r="595" spans="1:10" ht="14.1" customHeight="1" thickBot="1" x14ac:dyDescent="0.3">
      <c r="A595" s="32" t="s">
        <v>40</v>
      </c>
      <c r="B595" s="32" t="s">
        <v>41</v>
      </c>
      <c r="C595" s="32" t="s">
        <v>42</v>
      </c>
      <c r="D595" s="32" t="s">
        <v>43</v>
      </c>
      <c r="E595" s="32" t="s">
        <v>44</v>
      </c>
      <c r="F595" s="32" t="s">
        <v>45</v>
      </c>
    </row>
    <row r="596" spans="1:10" ht="14.1" customHeight="1" x14ac:dyDescent="0.25">
      <c r="A596" s="33" t="s">
        <v>137</v>
      </c>
      <c r="B596" s="34" t="str">
        <f ca="1">IFERROR(INDEX(UNSPSCDes,MATCH(INDIRECT(ADDRESS(ROW(),COLUMN()-1,4)),UNSPSCCode,0)),IF(INDIRECT(ADDRESS(ROW(),COLUMN()-1,4))="14111608","Certificados de regalo",""))</f>
        <v>Certificados de regalo</v>
      </c>
      <c r="C596" s="35" t="str">
        <f>IFERROR(VLOOKUP("UD",'[1]Informacion '!P:Q,2,FALSE),"")</f>
        <v>Unidad</v>
      </c>
      <c r="D596" s="33">
        <v>1</v>
      </c>
      <c r="E596" s="36">
        <v>2000000</v>
      </c>
      <c r="F596" s="37">
        <f ca="1">INDIRECT(ADDRESS(ROW(),COLUMN()-2,4))*INDIRECT(ADDRESS(ROW(),COLUMN()-1,4))</f>
        <v>2000000</v>
      </c>
    </row>
    <row r="597" spans="1:10" ht="14.1" customHeight="1" x14ac:dyDescent="0.25">
      <c r="E597" s="38" t="s">
        <v>48</v>
      </c>
      <c r="F597" s="39">
        <f ca="1">SUM(Table47[MONTO TOTAL ESTIMADO])</f>
        <v>2000000</v>
      </c>
      <c r="H597" s="25" t="str">
        <f>C589</f>
        <v>Bienes</v>
      </c>
      <c r="I597" s="25" t="str">
        <f>E589</f>
        <v>No</v>
      </c>
      <c r="J597" s="25" t="str">
        <f>D589</f>
        <v>Comparacion de Precios</v>
      </c>
    </row>
    <row r="598" spans="1:10" ht="14.1" customHeight="1" x14ac:dyDescent="0.25"/>
    <row r="599" spans="1:10" ht="34.15" customHeight="1" thickBot="1" x14ac:dyDescent="0.3">
      <c r="A599" s="24" t="s">
        <v>19</v>
      </c>
      <c r="B599" s="24" t="s">
        <v>20</v>
      </c>
      <c r="C599" s="24" t="s">
        <v>21</v>
      </c>
      <c r="D599" s="24" t="s">
        <v>22</v>
      </c>
      <c r="E599" s="24" t="s">
        <v>23</v>
      </c>
      <c r="F599" s="24" t="s">
        <v>24</v>
      </c>
    </row>
    <row r="600" spans="1:10" ht="14.1" customHeight="1" thickBot="1" x14ac:dyDescent="0.3">
      <c r="A600" s="26" t="s">
        <v>139</v>
      </c>
      <c r="B600" s="26" t="s">
        <v>140</v>
      </c>
      <c r="C600" s="26" t="s">
        <v>27</v>
      </c>
      <c r="D600" s="26" t="s">
        <v>28</v>
      </c>
      <c r="E600" s="26" t="s">
        <v>54</v>
      </c>
      <c r="F600" s="26"/>
    </row>
    <row r="601" spans="1:10" ht="14.1" customHeight="1" thickBot="1" x14ac:dyDescent="0.3">
      <c r="A601" s="43" t="s">
        <v>30</v>
      </c>
      <c r="B601" s="27" t="s">
        <v>31</v>
      </c>
      <c r="C601" s="28">
        <v>44576</v>
      </c>
      <c r="D601" s="43" t="s">
        <v>32</v>
      </c>
      <c r="E601" s="29" t="s">
        <v>33</v>
      </c>
      <c r="F601" s="30" t="s">
        <v>34</v>
      </c>
    </row>
    <row r="602" spans="1:10" ht="14.1" customHeight="1" thickBot="1" x14ac:dyDescent="0.3">
      <c r="A602" s="44"/>
      <c r="B602" s="27" t="s">
        <v>35</v>
      </c>
      <c r="C602" s="31">
        <f>IF(C601="","",IF(AND(MONTH(C601)&gt;=1,MONTH(C601)&lt;=3),1,IF(AND(MONTH(C601)&gt;=4,MONTH(C601)&lt;=6),2,IF(AND(MONTH(C601)&gt;=7,MONTH(C601)&lt;=9),3,4))))</f>
        <v>1</v>
      </c>
      <c r="D602" s="44"/>
      <c r="E602" s="29" t="s">
        <v>36</v>
      </c>
      <c r="F602" s="30"/>
    </row>
    <row r="603" spans="1:10" ht="14.1" customHeight="1" thickBot="1" x14ac:dyDescent="0.3">
      <c r="A603" s="44"/>
      <c r="B603" s="27" t="s">
        <v>37</v>
      </c>
      <c r="C603" s="28">
        <v>44651</v>
      </c>
      <c r="D603" s="44"/>
      <c r="E603" s="29" t="s">
        <v>38</v>
      </c>
      <c r="F603" s="30"/>
    </row>
    <row r="604" spans="1:10" ht="14.1" customHeight="1" thickBot="1" x14ac:dyDescent="0.3">
      <c r="A604" s="44"/>
      <c r="B604" s="27" t="s">
        <v>35</v>
      </c>
      <c r="C604" s="31">
        <f>IF(C603="","",IF(AND(MONTH(C603)&gt;=1,MONTH(C603)&lt;=3),1,IF(AND(MONTH(C603)&gt;=4,MONTH(C603)&lt;=6),2,IF(AND(MONTH(C603)&gt;=7,MONTH(C603)&lt;=9),3,4))))</f>
        <v>1</v>
      </c>
      <c r="D604" s="44"/>
      <c r="E604" s="29" t="s">
        <v>39</v>
      </c>
      <c r="F604" s="30"/>
    </row>
    <row r="605" spans="1:10" ht="14.1" customHeight="1" x14ac:dyDescent="0.25"/>
    <row r="606" spans="1:10" ht="14.1" customHeight="1" thickBot="1" x14ac:dyDescent="0.3">
      <c r="A606" s="32" t="s">
        <v>40</v>
      </c>
      <c r="B606" s="32" t="s">
        <v>41</v>
      </c>
      <c r="C606" s="32" t="s">
        <v>42</v>
      </c>
      <c r="D606" s="32" t="s">
        <v>43</v>
      </c>
      <c r="E606" s="32" t="s">
        <v>44</v>
      </c>
      <c r="F606" s="32" t="s">
        <v>45</v>
      </c>
    </row>
    <row r="607" spans="1:10" ht="14.1" customHeight="1" x14ac:dyDescent="0.25">
      <c r="A607" s="33" t="s">
        <v>141</v>
      </c>
      <c r="B607" s="34" t="str">
        <f ca="1">IFERROR(INDEX(UNSPSCDes,MATCH(INDIRECT(ADDRESS(ROW(),COLUMN()-1,4)),UNSPSCCode,0)),IF(INDIRECT(ADDRESS(ROW(),COLUMN()-1,4))="27111801","Cintas métricas",""))</f>
        <v>Cintas métricas</v>
      </c>
      <c r="C607" s="35" t="str">
        <f>IFERROR(VLOOKUP("UD",'[1]Informacion '!P:Q,2,FALSE),"")</f>
        <v>Unidad</v>
      </c>
      <c r="D607" s="33">
        <v>2</v>
      </c>
      <c r="E607" s="36">
        <v>875</v>
      </c>
      <c r="F607" s="37">
        <f t="shared" ref="F607:F627" ca="1" si="13">INDIRECT(ADDRESS(ROW(),COLUMN()-2,4))*INDIRECT(ADDRESS(ROW(),COLUMN()-1,4))</f>
        <v>1750</v>
      </c>
    </row>
    <row r="608" spans="1:10" ht="14.1" customHeight="1" x14ac:dyDescent="0.25">
      <c r="A608" s="33" t="s">
        <v>142</v>
      </c>
      <c r="B608" s="34" t="str">
        <f ca="1">IFERROR(INDEX(UNSPSCDes,MATCH(INDIRECT(ADDRESS(ROW(),COLUMN()-1,4)),UNSPSCCode,0)),IF(INDIRECT(ADDRESS(ROW(),COLUMN()-1,4))="32141016","Tubos múltiples",""))</f>
        <v>Tubos múltiples</v>
      </c>
      <c r="C608" s="35" t="str">
        <f>IFERROR(VLOOKUP("UD",'[1]Informacion '!P:Q,2,FALSE),"")</f>
        <v>Unidad</v>
      </c>
      <c r="D608" s="33">
        <v>25</v>
      </c>
      <c r="E608" s="36">
        <v>300</v>
      </c>
      <c r="F608" s="37">
        <f t="shared" ca="1" si="13"/>
        <v>7500</v>
      </c>
    </row>
    <row r="609" spans="1:6" ht="14.1" customHeight="1" x14ac:dyDescent="0.25">
      <c r="A609" s="33" t="s">
        <v>143</v>
      </c>
      <c r="B609" s="34" t="str">
        <f ca="1">IFERROR(INDEX(UNSPSCDes,MATCH(INDIRECT(ADDRESS(ROW(),COLUMN()-1,4)),UNSPSCCode,0)),IF(INDIRECT(ADDRESS(ROW(),COLUMN()-1,4))="39121304","Cubiertas de cajas eléctricas",""))</f>
        <v>Cubiertas de cajas eléctricas</v>
      </c>
      <c r="C609" s="35" t="str">
        <f>IFERROR(VLOOKUP("UD",'[1]Informacion '!P:Q,2,FALSE),"")</f>
        <v>Unidad</v>
      </c>
      <c r="D609" s="33">
        <v>300</v>
      </c>
      <c r="E609" s="36">
        <v>50</v>
      </c>
      <c r="F609" s="37">
        <f t="shared" ca="1" si="13"/>
        <v>15000</v>
      </c>
    </row>
    <row r="610" spans="1:6" ht="14.1" customHeight="1" x14ac:dyDescent="0.25">
      <c r="A610" s="33" t="s">
        <v>144</v>
      </c>
      <c r="B610" s="34" t="str">
        <f ca="1">IFERROR(INDEX(UNSPSCDes,MATCH(INDIRECT(ADDRESS(ROW(),COLUMN()-1,4)),UNSPSCCode,0)),IF(INDIRECT(ADDRESS(ROW(),COLUMN()-1,4))="39121505","Interruptores de resorte",""))</f>
        <v>Interruptores de resorte</v>
      </c>
      <c r="C610" s="35" t="str">
        <f>IFERROR(VLOOKUP("UD",'[1]Informacion '!P:Q,2,FALSE),"")</f>
        <v>Unidad</v>
      </c>
      <c r="D610" s="33">
        <v>15</v>
      </c>
      <c r="E610" s="36">
        <v>250</v>
      </c>
      <c r="F610" s="37">
        <f t="shared" ca="1" si="13"/>
        <v>3750</v>
      </c>
    </row>
    <row r="611" spans="1:6" ht="14.1" customHeight="1" x14ac:dyDescent="0.25">
      <c r="A611" s="33" t="s">
        <v>145</v>
      </c>
      <c r="B611" s="34" t="str">
        <f ca="1">IFERROR(INDEX(UNSPSCDes,MATCH(INDIRECT(ADDRESS(ROW(),COLUMN()-1,4)),UNSPSCCode,0)),IF(INDIRECT(ADDRESS(ROW(),COLUMN()-1,4))="60104912","Alambres o cables eléctricos",""))</f>
        <v>Alambres o cables eléctricos</v>
      </c>
      <c r="C611" s="35" t="str">
        <f>IFERROR(VLOOKUP("CAJ",'[1]Informacion '!P:Q,2,FALSE),"")</f>
        <v>Caja</v>
      </c>
      <c r="D611" s="33">
        <v>4</v>
      </c>
      <c r="E611" s="36">
        <v>6000</v>
      </c>
      <c r="F611" s="37">
        <f t="shared" ca="1" si="13"/>
        <v>24000</v>
      </c>
    </row>
    <row r="612" spans="1:6" ht="14.1" customHeight="1" x14ac:dyDescent="0.25">
      <c r="A612" s="33" t="s">
        <v>146</v>
      </c>
      <c r="B612" s="34" t="str">
        <f ca="1">IFERROR(INDEX(UNSPSCDes,MATCH(INDIRECT(ADDRESS(ROW(),COLUMN()-1,4)),UNSPSCCode,0)),IF(INDIRECT(ADDRESS(ROW(),COLUMN()-1,4))="39101605","Lámparas fluorescentes",""))</f>
        <v>Lámparas fluorescentes</v>
      </c>
      <c r="C612" s="35" t="str">
        <f>IFERROR(VLOOKUP("UD",'[1]Informacion '!P:Q,2,FALSE),"")</f>
        <v>Unidad</v>
      </c>
      <c r="D612" s="33">
        <v>20</v>
      </c>
      <c r="E612" s="36">
        <v>2300</v>
      </c>
      <c r="F612" s="37">
        <f t="shared" ca="1" si="13"/>
        <v>46000</v>
      </c>
    </row>
    <row r="613" spans="1:6" ht="14.1" customHeight="1" x14ac:dyDescent="0.25">
      <c r="A613" s="33" t="s">
        <v>147</v>
      </c>
      <c r="B613" s="34" t="str">
        <f ca="1">IFERROR(INDEX(UNSPSCDes,MATCH(INDIRECT(ADDRESS(ROW(),COLUMN()-1,4)),UNSPSCCode,0)),IF(INDIRECT(ADDRESS(ROW(),COLUMN()-1,4))="31201610","Pegamentos",""))</f>
        <v>Pegamentos</v>
      </c>
      <c r="C613" s="35" t="str">
        <f>IFERROR(VLOOKUP("UD",'[1]Informacion '!P:Q,2,FALSE),"")</f>
        <v>Unidad</v>
      </c>
      <c r="D613" s="33">
        <v>10</v>
      </c>
      <c r="E613" s="36">
        <v>250</v>
      </c>
      <c r="F613" s="37">
        <f t="shared" ca="1" si="13"/>
        <v>2500</v>
      </c>
    </row>
    <row r="614" spans="1:6" ht="14.1" customHeight="1" x14ac:dyDescent="0.25">
      <c r="A614" s="33" t="s">
        <v>80</v>
      </c>
      <c r="B614" s="34" t="str">
        <f ca="1">IFERROR(INDEX(UNSPSCDes,MATCH(INDIRECT(ADDRESS(ROW(),COLUMN()-1,4)),UNSPSCCode,0)),IF(INDIRECT(ADDRESS(ROW(),COLUMN()-1,4))="39121409","Conectores de cables eléctricos",""))</f>
        <v>Conectores de cables eléctricos</v>
      </c>
      <c r="C614" s="35" t="str">
        <f>IFERROR(VLOOKUP("UD",'[1]Informacion '!P:Q,2,FALSE),"")</f>
        <v>Unidad</v>
      </c>
      <c r="D614" s="33">
        <v>100</v>
      </c>
      <c r="E614" s="36">
        <v>25</v>
      </c>
      <c r="F614" s="37">
        <f t="shared" ca="1" si="13"/>
        <v>2500</v>
      </c>
    </row>
    <row r="615" spans="1:6" ht="14.1" customHeight="1" x14ac:dyDescent="0.25">
      <c r="A615" s="33" t="s">
        <v>148</v>
      </c>
      <c r="B615" s="34" t="str">
        <f ca="1">IFERROR(INDEX(UNSPSCDes,MATCH(INDIRECT(ADDRESS(ROW(),COLUMN()-1,4)),UNSPSCCode,0)),IF(INDIRECT(ADDRESS(ROW(),COLUMN()-1,4))="30181505","Inodoros o excusados",""))</f>
        <v>Inodoros o excusados</v>
      </c>
      <c r="C615" s="35" t="str">
        <f>IFERROR(VLOOKUP("UD",'[1]Informacion '!P:Q,2,FALSE),"")</f>
        <v>Unidad</v>
      </c>
      <c r="D615" s="33">
        <v>2</v>
      </c>
      <c r="E615" s="36">
        <v>8200</v>
      </c>
      <c r="F615" s="37">
        <f t="shared" ca="1" si="13"/>
        <v>16400</v>
      </c>
    </row>
    <row r="616" spans="1:6" ht="14.1" customHeight="1" x14ac:dyDescent="0.25">
      <c r="A616" s="33" t="s">
        <v>149</v>
      </c>
      <c r="B616" s="34" t="str">
        <f ca="1">IFERROR(INDEX(UNSPSCDes,MATCH(INDIRECT(ADDRESS(ROW(),COLUMN()-1,4)),UNSPSCCode,0)),IF(INDIRECT(ADDRESS(ROW(),COLUMN()-1,4))="30181504","Lavamanos",""))</f>
        <v>Lavamanos</v>
      </c>
      <c r="C616" s="35" t="str">
        <f>IFERROR(VLOOKUP("UD",'[1]Informacion '!P:Q,2,FALSE),"")</f>
        <v>Unidad</v>
      </c>
      <c r="D616" s="33">
        <v>2</v>
      </c>
      <c r="E616" s="36">
        <v>3000</v>
      </c>
      <c r="F616" s="37">
        <f t="shared" ca="1" si="13"/>
        <v>6000</v>
      </c>
    </row>
    <row r="617" spans="1:6" ht="14.1" customHeight="1" x14ac:dyDescent="0.25">
      <c r="A617" s="33" t="s">
        <v>150</v>
      </c>
      <c r="B617" s="34" t="str">
        <f ca="1">IFERROR(INDEX(UNSPSCDes,MATCH(INDIRECT(ADDRESS(ROW(),COLUMN()-1,4)),UNSPSCCode,0)),IF(INDIRECT(ADDRESS(ROW(),COLUMN()-1,4))="30181506","Orinales",""))</f>
        <v>Orinales</v>
      </c>
      <c r="C617" s="35" t="str">
        <f>IFERROR(VLOOKUP("UD",'[1]Informacion '!P:Q,2,FALSE),"")</f>
        <v>Unidad</v>
      </c>
      <c r="D617" s="33">
        <v>2</v>
      </c>
      <c r="E617" s="36">
        <v>6000</v>
      </c>
      <c r="F617" s="37">
        <f t="shared" ca="1" si="13"/>
        <v>12000</v>
      </c>
    </row>
    <row r="618" spans="1:6" ht="14.1" customHeight="1" x14ac:dyDescent="0.25">
      <c r="A618" s="33" t="s">
        <v>145</v>
      </c>
      <c r="B618" s="34" t="str">
        <f ca="1">IFERROR(INDEX(UNSPSCDes,MATCH(INDIRECT(ADDRESS(ROW(),COLUMN()-1,4)),UNSPSCCode,0)),IF(INDIRECT(ADDRESS(ROW(),COLUMN()-1,4))="60104912","Alambres o cables eléctricos",""))</f>
        <v>Alambres o cables eléctricos</v>
      </c>
      <c r="C618" s="35" t="str">
        <f>IFERROR(VLOOKUP("FT",'[1]Informacion '!P:Q,2,FALSE),"")</f>
        <v>Pie</v>
      </c>
      <c r="D618" s="33">
        <v>1500</v>
      </c>
      <c r="E618" s="36">
        <v>35</v>
      </c>
      <c r="F618" s="37">
        <f t="shared" ca="1" si="13"/>
        <v>52500</v>
      </c>
    </row>
    <row r="619" spans="1:6" ht="14.1" customHeight="1" x14ac:dyDescent="0.25">
      <c r="A619" s="33" t="s">
        <v>151</v>
      </c>
      <c r="B619" s="34" t="str">
        <f ca="1">IFERROR(INDEX(UNSPSCDes,MATCH(INDIRECT(ADDRESS(ROW(),COLUMN()-1,4)),UNSPSCCode,0)),IF(INDIRECT(ADDRESS(ROW(),COLUMN()-1,4))="22101619","Máquinas pulidoras",""))</f>
        <v>Máquinas pulidoras</v>
      </c>
      <c r="C619" s="35" t="str">
        <f>IFERROR(VLOOKUP("UD",'[1]Informacion '!P:Q,2,FALSE),"")</f>
        <v>Unidad</v>
      </c>
      <c r="D619" s="33">
        <v>1</v>
      </c>
      <c r="E619" s="36">
        <v>6000</v>
      </c>
      <c r="F619" s="37">
        <f t="shared" ca="1" si="13"/>
        <v>6000</v>
      </c>
    </row>
    <row r="620" spans="1:6" ht="14.1" customHeight="1" x14ac:dyDescent="0.25">
      <c r="A620" s="33" t="s">
        <v>152</v>
      </c>
      <c r="B620" s="34" t="str">
        <f ca="1">IFERROR(INDEX(UNSPSCDes,MATCH(INDIRECT(ADDRESS(ROW(),COLUMN()-1,4)),UNSPSCCode,0)),IF(INDIRECT(ADDRESS(ROW(),COLUMN()-1,4))="27111515","Taladro de mano",""))</f>
        <v>Taladro de mano</v>
      </c>
      <c r="C620" s="35" t="str">
        <f>IFERROR(VLOOKUP("UD",'[1]Informacion '!P:Q,2,FALSE),"")</f>
        <v>Unidad</v>
      </c>
      <c r="D620" s="33">
        <v>1</v>
      </c>
      <c r="E620" s="36">
        <v>6500</v>
      </c>
      <c r="F620" s="37">
        <f t="shared" ca="1" si="13"/>
        <v>6500</v>
      </c>
    </row>
    <row r="621" spans="1:6" ht="14.1" customHeight="1" x14ac:dyDescent="0.25">
      <c r="A621" s="33" t="s">
        <v>153</v>
      </c>
      <c r="B621" s="34" t="str">
        <f ca="1">IFERROR(INDEX(UNSPSCDes,MATCH(INDIRECT(ADDRESS(ROW(),COLUMN()-1,4)),UNSPSCCode,0)),IF(INDIRECT(ADDRESS(ROW(),COLUMN()-1,4))="41113637","Medidores de voltaje o de corriente",""))</f>
        <v>Medidores de voltaje o de corriente</v>
      </c>
      <c r="C621" s="35" t="str">
        <f>IFERROR(VLOOKUP("UD",'[1]Informacion '!P:Q,2,FALSE),"")</f>
        <v>Unidad</v>
      </c>
      <c r="D621" s="33">
        <v>1</v>
      </c>
      <c r="E621" s="36">
        <v>14000</v>
      </c>
      <c r="F621" s="37">
        <f t="shared" ca="1" si="13"/>
        <v>14000</v>
      </c>
    </row>
    <row r="622" spans="1:6" ht="14.1" customHeight="1" x14ac:dyDescent="0.25">
      <c r="A622" s="33" t="s">
        <v>154</v>
      </c>
      <c r="B622" s="34" t="str">
        <f ca="1">IFERROR(INDEX(UNSPSCDes,MATCH(INDIRECT(ADDRESS(ROW(),COLUMN()-1,4)),UNSPSCCode,0)),IF(INDIRECT(ADDRESS(ROW(),COLUMN()-1,4))="39111521","Plafones",""))</f>
        <v>Plafones</v>
      </c>
      <c r="C622" s="35" t="str">
        <f>IFERROR(VLOOKUP("CAJ",'[1]Informacion '!P:Q,2,FALSE),"")</f>
        <v>Caja</v>
      </c>
      <c r="D622" s="33">
        <v>3</v>
      </c>
      <c r="E622" s="36">
        <v>3500</v>
      </c>
      <c r="F622" s="37">
        <f t="shared" ca="1" si="13"/>
        <v>10500</v>
      </c>
    </row>
    <row r="623" spans="1:6" ht="14.1" customHeight="1" x14ac:dyDescent="0.25">
      <c r="A623" s="33" t="s">
        <v>155</v>
      </c>
      <c r="B623" s="34" t="str">
        <f ca="1">IFERROR(INDEX(UNSPSCDes,MATCH(INDIRECT(ADDRESS(ROW(),COLUMN()-1,4)),UNSPSCCode,0)),IF(INDIRECT(ADDRESS(ROW(),COLUMN()-1,4))="27111704","Enchufes",""))</f>
        <v>Enchufes</v>
      </c>
      <c r="C623" s="35" t="str">
        <f>IFERROR(VLOOKUP("UD",'[1]Informacion '!P:Q,2,FALSE),"")</f>
        <v>Unidad</v>
      </c>
      <c r="D623" s="33">
        <v>100</v>
      </c>
      <c r="E623" s="36">
        <v>300</v>
      </c>
      <c r="F623" s="37">
        <f t="shared" ca="1" si="13"/>
        <v>30000</v>
      </c>
    </row>
    <row r="624" spans="1:6" ht="14.1" customHeight="1" x14ac:dyDescent="0.25">
      <c r="A624" s="33" t="s">
        <v>156</v>
      </c>
      <c r="B624" s="34" t="str">
        <f ca="1">IFERROR(INDEX(UNSPSCDes,MATCH(INDIRECT(ADDRESS(ROW(),COLUMN()-1,4)),UNSPSCCode,0)),IF(INDIRECT(ADDRESS(ROW(),COLUMN()-1,4))="31201518","Cinta conductora de electricidad",""))</f>
        <v>Cinta conductora de electricidad</v>
      </c>
      <c r="C624" s="35" t="str">
        <f>IFERROR(VLOOKUP("UD",'[1]Informacion '!P:Q,2,FALSE),"")</f>
        <v>Unidad</v>
      </c>
      <c r="D624" s="33">
        <v>10</v>
      </c>
      <c r="E624" s="36">
        <v>450</v>
      </c>
      <c r="F624" s="37">
        <f t="shared" ca="1" si="13"/>
        <v>4500</v>
      </c>
    </row>
    <row r="625" spans="1:10" ht="14.1" customHeight="1" x14ac:dyDescent="0.25">
      <c r="A625" s="33" t="s">
        <v>155</v>
      </c>
      <c r="B625" s="34" t="str">
        <f ca="1">IFERROR(INDEX(UNSPSCDes,MATCH(INDIRECT(ADDRESS(ROW(),COLUMN()-1,4)),UNSPSCCode,0)),IF(INDIRECT(ADDRESS(ROW(),COLUMN()-1,4))="27111704","Enchufes",""))</f>
        <v>Enchufes</v>
      </c>
      <c r="C625" s="35" t="str">
        <f>IFERROR(VLOOKUP("UD",'[1]Informacion '!P:Q,2,FALSE),"")</f>
        <v>Unidad</v>
      </c>
      <c r="D625" s="33">
        <v>200</v>
      </c>
      <c r="E625" s="36">
        <v>300</v>
      </c>
      <c r="F625" s="37">
        <f t="shared" ca="1" si="13"/>
        <v>60000</v>
      </c>
    </row>
    <row r="626" spans="1:10" ht="14.1" customHeight="1" x14ac:dyDescent="0.25">
      <c r="A626" s="33" t="s">
        <v>157</v>
      </c>
      <c r="B626" s="34" t="str">
        <f ca="1">IFERROR(INDEX(UNSPSCDes,MATCH(INDIRECT(ADDRESS(ROW(),COLUMN()-1,4)),UNSPSCCode,0)),IF(INDIRECT(ADDRESS(ROW(),COLUMN()-1,4))="31201605","Masillas",""))</f>
        <v>Masillas</v>
      </c>
      <c r="C626" s="35" t="str">
        <f>IFERROR(VLOOKUP("UD",'[1]Informacion '!P:Q,2,FALSE),"")</f>
        <v>Unidad</v>
      </c>
      <c r="D626" s="33">
        <v>20</v>
      </c>
      <c r="E626" s="36">
        <v>220</v>
      </c>
      <c r="F626" s="37">
        <f t="shared" ca="1" si="13"/>
        <v>4400</v>
      </c>
    </row>
    <row r="627" spans="1:10" ht="14.1" customHeight="1" x14ac:dyDescent="0.25">
      <c r="A627" s="33" t="s">
        <v>158</v>
      </c>
      <c r="B627" s="34" t="str">
        <f ca="1">IFERROR(INDEX(UNSPSCDes,MATCH(INDIRECT(ADDRESS(ROW(),COLUMN()-1,4)),UNSPSCCode,0)),IF(INDIRECT(ADDRESS(ROW(),COLUMN()-1,4))="31201501","Cinta de ductos",""))</f>
        <v>Cinta de ductos</v>
      </c>
      <c r="C627" s="35" t="str">
        <f>IFERROR(VLOOKUP("UD",'[1]Informacion '!P:Q,2,FALSE),"")</f>
        <v>Unidad</v>
      </c>
      <c r="D627" s="33">
        <v>4</v>
      </c>
      <c r="E627" s="36">
        <v>1500</v>
      </c>
      <c r="F627" s="37">
        <f t="shared" ca="1" si="13"/>
        <v>6000</v>
      </c>
    </row>
    <row r="628" spans="1:10" ht="14.1" customHeight="1" x14ac:dyDescent="0.25">
      <c r="E628" s="38" t="s">
        <v>48</v>
      </c>
      <c r="F628" s="39">
        <f ca="1">SUM(Table48[MONTO TOTAL ESTIMADO])</f>
        <v>331800</v>
      </c>
      <c r="H628" s="25" t="str">
        <f>C600</f>
        <v>Bienes</v>
      </c>
      <c r="I628" s="25" t="str">
        <f>E600</f>
        <v>Sí</v>
      </c>
      <c r="J628" s="25" t="str">
        <f>D600</f>
        <v>Compras Menores</v>
      </c>
    </row>
    <row r="629" spans="1:10" ht="14.1" customHeight="1" x14ac:dyDescent="0.25"/>
    <row r="630" spans="1:10" ht="34.15" customHeight="1" thickBot="1" x14ac:dyDescent="0.3">
      <c r="A630" s="24" t="s">
        <v>19</v>
      </c>
      <c r="B630" s="24" t="s">
        <v>20</v>
      </c>
      <c r="C630" s="24" t="s">
        <v>21</v>
      </c>
      <c r="D630" s="24" t="s">
        <v>22</v>
      </c>
      <c r="E630" s="24" t="s">
        <v>23</v>
      </c>
      <c r="F630" s="24" t="s">
        <v>24</v>
      </c>
    </row>
    <row r="631" spans="1:10" ht="14.1" customHeight="1" thickBot="1" x14ac:dyDescent="0.3">
      <c r="A631" s="26" t="s">
        <v>159</v>
      </c>
      <c r="B631" s="26" t="s">
        <v>160</v>
      </c>
      <c r="C631" s="26" t="s">
        <v>27</v>
      </c>
      <c r="D631" s="26" t="s">
        <v>53</v>
      </c>
      <c r="E631" s="26" t="s">
        <v>54</v>
      </c>
      <c r="F631" s="26"/>
    </row>
    <row r="632" spans="1:10" ht="14.1" customHeight="1" thickBot="1" x14ac:dyDescent="0.3">
      <c r="A632" s="43" t="s">
        <v>30</v>
      </c>
      <c r="B632" s="27" t="s">
        <v>31</v>
      </c>
      <c r="C632" s="28">
        <v>44652</v>
      </c>
      <c r="D632" s="43" t="s">
        <v>32</v>
      </c>
      <c r="E632" s="29" t="s">
        <v>33</v>
      </c>
      <c r="F632" s="30" t="s">
        <v>34</v>
      </c>
    </row>
    <row r="633" spans="1:10" ht="14.1" customHeight="1" thickBot="1" x14ac:dyDescent="0.3">
      <c r="A633" s="44"/>
      <c r="B633" s="27" t="s">
        <v>35</v>
      </c>
      <c r="C633" s="31">
        <f>IF(C632="","",IF(AND(MONTH(C632)&gt;=1,MONTH(C632)&lt;=3),1,IF(AND(MONTH(C632)&gt;=4,MONTH(C632)&lt;=6),2,IF(AND(MONTH(C632)&gt;=7,MONTH(C632)&lt;=9),3,4))))</f>
        <v>2</v>
      </c>
      <c r="D633" s="44"/>
      <c r="E633" s="29" t="s">
        <v>36</v>
      </c>
      <c r="F633" s="30"/>
    </row>
    <row r="634" spans="1:10" ht="14.1" customHeight="1" thickBot="1" x14ac:dyDescent="0.3">
      <c r="A634" s="44"/>
      <c r="B634" s="27" t="s">
        <v>37</v>
      </c>
      <c r="C634" s="28">
        <v>44742</v>
      </c>
      <c r="D634" s="44"/>
      <c r="E634" s="29" t="s">
        <v>38</v>
      </c>
      <c r="F634" s="30"/>
    </row>
    <row r="635" spans="1:10" ht="14.1" customHeight="1" thickBot="1" x14ac:dyDescent="0.3">
      <c r="A635" s="44"/>
      <c r="B635" s="27" t="s">
        <v>35</v>
      </c>
      <c r="C635" s="31">
        <f>IF(C634="","",IF(AND(MONTH(C634)&gt;=1,MONTH(C634)&lt;=3),1,IF(AND(MONTH(C634)&gt;=4,MONTH(C634)&lt;=6),2,IF(AND(MONTH(C634)&gt;=7,MONTH(C634)&lt;=9),3,4))))</f>
        <v>2</v>
      </c>
      <c r="D635" s="44"/>
      <c r="E635" s="29" t="s">
        <v>39</v>
      </c>
      <c r="F635" s="30"/>
    </row>
    <row r="636" spans="1:10" ht="14.1" customHeight="1" x14ac:dyDescent="0.25"/>
    <row r="637" spans="1:10" ht="14.1" customHeight="1" thickBot="1" x14ac:dyDescent="0.3">
      <c r="A637" s="32" t="s">
        <v>40</v>
      </c>
      <c r="B637" s="32" t="s">
        <v>41</v>
      </c>
      <c r="C637" s="32" t="s">
        <v>42</v>
      </c>
      <c r="D637" s="32" t="s">
        <v>43</v>
      </c>
      <c r="E637" s="32" t="s">
        <v>44</v>
      </c>
      <c r="F637" s="32" t="s">
        <v>45</v>
      </c>
    </row>
    <row r="638" spans="1:10" ht="14.1" customHeight="1" x14ac:dyDescent="0.25">
      <c r="A638" s="33" t="s">
        <v>142</v>
      </c>
      <c r="B638" s="34" t="str">
        <f ca="1">IFERROR(INDEX(UNSPSCDes,MATCH(INDIRECT(ADDRESS(ROW(),COLUMN()-1,4)),UNSPSCCode,0)),IF(INDIRECT(ADDRESS(ROW(),COLUMN()-1,4))="32141016","Tubos múltiples",""))</f>
        <v>Tubos múltiples</v>
      </c>
      <c r="C638" s="35" t="str">
        <f>IFERROR(VLOOKUP("UD",'[1]Informacion '!P:Q,2,FALSE),"")</f>
        <v>Unidad</v>
      </c>
      <c r="D638" s="33">
        <v>25</v>
      </c>
      <c r="E638" s="36">
        <v>300</v>
      </c>
      <c r="F638" s="37">
        <f t="shared" ref="F638:F646" ca="1" si="14">INDIRECT(ADDRESS(ROW(),COLUMN()-2,4))*INDIRECT(ADDRESS(ROW(),COLUMN()-1,4))</f>
        <v>7500</v>
      </c>
    </row>
    <row r="639" spans="1:10" ht="14.1" customHeight="1" x14ac:dyDescent="0.25">
      <c r="A639" s="33" t="s">
        <v>144</v>
      </c>
      <c r="B639" s="34" t="str">
        <f ca="1">IFERROR(INDEX(UNSPSCDes,MATCH(INDIRECT(ADDRESS(ROW(),COLUMN()-1,4)),UNSPSCCode,0)),IF(INDIRECT(ADDRESS(ROW(),COLUMN()-1,4))="39121505","Interruptores de resorte",""))</f>
        <v>Interruptores de resorte</v>
      </c>
      <c r="C639" s="35" t="str">
        <f>IFERROR(VLOOKUP("UD",'[1]Informacion '!P:Q,2,FALSE),"")</f>
        <v>Unidad</v>
      </c>
      <c r="D639" s="33">
        <v>15</v>
      </c>
      <c r="E639" s="36">
        <v>250</v>
      </c>
      <c r="F639" s="37">
        <f t="shared" ca="1" si="14"/>
        <v>3750</v>
      </c>
    </row>
    <row r="640" spans="1:10" ht="14.1" customHeight="1" x14ac:dyDescent="0.25">
      <c r="A640" s="33" t="s">
        <v>146</v>
      </c>
      <c r="B640" s="34" t="str">
        <f ca="1">IFERROR(INDEX(UNSPSCDes,MATCH(INDIRECT(ADDRESS(ROW(),COLUMN()-1,4)),UNSPSCCode,0)),IF(INDIRECT(ADDRESS(ROW(),COLUMN()-1,4))="39101605","Lámparas fluorescentes",""))</f>
        <v>Lámparas fluorescentes</v>
      </c>
      <c r="C640" s="35" t="str">
        <f>IFERROR(VLOOKUP("UD",'[1]Informacion '!P:Q,2,FALSE),"")</f>
        <v>Unidad</v>
      </c>
      <c r="D640" s="33">
        <v>20</v>
      </c>
      <c r="E640" s="36">
        <v>2300</v>
      </c>
      <c r="F640" s="37">
        <f t="shared" ca="1" si="14"/>
        <v>46000</v>
      </c>
    </row>
    <row r="641" spans="1:10" ht="14.1" customHeight="1" x14ac:dyDescent="0.25">
      <c r="A641" s="33" t="s">
        <v>147</v>
      </c>
      <c r="B641" s="34" t="str">
        <f ca="1">IFERROR(INDEX(UNSPSCDes,MATCH(INDIRECT(ADDRESS(ROW(),COLUMN()-1,4)),UNSPSCCode,0)),IF(INDIRECT(ADDRESS(ROW(),COLUMN()-1,4))="31201610","Pegamentos",""))</f>
        <v>Pegamentos</v>
      </c>
      <c r="C641" s="35" t="str">
        <f>IFERROR(VLOOKUP("UD",'[1]Informacion '!P:Q,2,FALSE),"")</f>
        <v>Unidad</v>
      </c>
      <c r="D641" s="33">
        <v>10</v>
      </c>
      <c r="E641" s="36">
        <v>250</v>
      </c>
      <c r="F641" s="37">
        <f t="shared" ca="1" si="14"/>
        <v>2500</v>
      </c>
    </row>
    <row r="642" spans="1:10" ht="14.1" customHeight="1" x14ac:dyDescent="0.25">
      <c r="A642" s="33" t="s">
        <v>80</v>
      </c>
      <c r="B642" s="34" t="str">
        <f ca="1">IFERROR(INDEX(UNSPSCDes,MATCH(INDIRECT(ADDRESS(ROW(),COLUMN()-1,4)),UNSPSCCode,0)),IF(INDIRECT(ADDRESS(ROW(),COLUMN()-1,4))="39121409","Conectores de cables eléctricos",""))</f>
        <v>Conectores de cables eléctricos</v>
      </c>
      <c r="C642" s="35" t="str">
        <f>IFERROR(VLOOKUP("UD",'[1]Informacion '!P:Q,2,FALSE),"")</f>
        <v>Unidad</v>
      </c>
      <c r="D642" s="33">
        <v>100</v>
      </c>
      <c r="E642" s="36">
        <v>25</v>
      </c>
      <c r="F642" s="37">
        <f t="shared" ca="1" si="14"/>
        <v>2500</v>
      </c>
    </row>
    <row r="643" spans="1:10" ht="14.1" customHeight="1" x14ac:dyDescent="0.25">
      <c r="A643" s="33" t="s">
        <v>149</v>
      </c>
      <c r="B643" s="34" t="str">
        <f ca="1">IFERROR(INDEX(UNSPSCDes,MATCH(INDIRECT(ADDRESS(ROW(),COLUMN()-1,4)),UNSPSCCode,0)),IF(INDIRECT(ADDRESS(ROW(),COLUMN()-1,4))="30181504","Lavamanos",""))</f>
        <v>Lavamanos</v>
      </c>
      <c r="C643" s="35" t="str">
        <f>IFERROR(VLOOKUP("UD",'[1]Informacion '!P:Q,2,FALSE),"")</f>
        <v>Unidad</v>
      </c>
      <c r="D643" s="33">
        <v>2</v>
      </c>
      <c r="E643" s="36">
        <v>3000</v>
      </c>
      <c r="F643" s="37">
        <f t="shared" ca="1" si="14"/>
        <v>6000</v>
      </c>
    </row>
    <row r="644" spans="1:10" ht="14.1" customHeight="1" x14ac:dyDescent="0.25">
      <c r="A644" s="33" t="s">
        <v>150</v>
      </c>
      <c r="B644" s="34" t="str">
        <f ca="1">IFERROR(INDEX(UNSPSCDes,MATCH(INDIRECT(ADDRESS(ROW(),COLUMN()-1,4)),UNSPSCCode,0)),IF(INDIRECT(ADDRESS(ROW(),COLUMN()-1,4))="30181506","Orinales",""))</f>
        <v>Orinales</v>
      </c>
      <c r="C644" s="35" t="str">
        <f>IFERROR(VLOOKUP("UD",'[1]Informacion '!P:Q,2,FALSE),"")</f>
        <v>Unidad</v>
      </c>
      <c r="D644" s="33">
        <v>2</v>
      </c>
      <c r="E644" s="36">
        <v>6000</v>
      </c>
      <c r="F644" s="37">
        <f t="shared" ca="1" si="14"/>
        <v>12000</v>
      </c>
    </row>
    <row r="645" spans="1:10" ht="14.1" customHeight="1" x14ac:dyDescent="0.25">
      <c r="A645" s="33" t="s">
        <v>157</v>
      </c>
      <c r="B645" s="34" t="str">
        <f ca="1">IFERROR(INDEX(UNSPSCDes,MATCH(INDIRECT(ADDRESS(ROW(),COLUMN()-1,4)),UNSPSCCode,0)),IF(INDIRECT(ADDRESS(ROW(),COLUMN()-1,4))="31201605","Masillas",""))</f>
        <v>Masillas</v>
      </c>
      <c r="C645" s="35" t="str">
        <f>IFERROR(VLOOKUP("UD",'[1]Informacion '!P:Q,2,FALSE),"")</f>
        <v>Unidad</v>
      </c>
      <c r="D645" s="33">
        <v>5</v>
      </c>
      <c r="E645" s="36">
        <v>220</v>
      </c>
      <c r="F645" s="37">
        <f t="shared" ca="1" si="14"/>
        <v>1100</v>
      </c>
    </row>
    <row r="646" spans="1:10" ht="14.1" customHeight="1" x14ac:dyDescent="0.25">
      <c r="A646" s="33" t="s">
        <v>148</v>
      </c>
      <c r="B646" s="34" t="str">
        <f ca="1">IFERROR(INDEX(UNSPSCDes,MATCH(INDIRECT(ADDRESS(ROW(),COLUMN()-1,4)),UNSPSCCode,0)),IF(INDIRECT(ADDRESS(ROW(),COLUMN()-1,4))="30181505","Inodoros o excusados",""))</f>
        <v>Inodoros o excusados</v>
      </c>
      <c r="C646" s="35" t="str">
        <f>IFERROR(VLOOKUP("UD",'[1]Informacion '!P:Q,2,FALSE),"")</f>
        <v>Unidad</v>
      </c>
      <c r="D646" s="33">
        <v>2</v>
      </c>
      <c r="E646" s="36">
        <v>8200</v>
      </c>
      <c r="F646" s="37">
        <f t="shared" ca="1" si="14"/>
        <v>16400</v>
      </c>
    </row>
    <row r="647" spans="1:10" ht="14.1" customHeight="1" x14ac:dyDescent="0.25">
      <c r="E647" s="38" t="s">
        <v>48</v>
      </c>
      <c r="F647" s="39">
        <f ca="1">SUM(Table49[MONTO TOTAL ESTIMADO])</f>
        <v>97750</v>
      </c>
      <c r="H647" s="25" t="str">
        <f>C631</f>
        <v>Bienes</v>
      </c>
      <c r="I647" s="25" t="str">
        <f>E631</f>
        <v>Sí</v>
      </c>
      <c r="J647" s="25" t="str">
        <f>D631</f>
        <v>Compras por debajo del Umbral</v>
      </c>
    </row>
    <row r="648" spans="1:10" ht="14.1" customHeight="1" x14ac:dyDescent="0.25"/>
    <row r="649" spans="1:10" ht="34.15" customHeight="1" thickBot="1" x14ac:dyDescent="0.3">
      <c r="A649" s="24" t="s">
        <v>19</v>
      </c>
      <c r="B649" s="24" t="s">
        <v>20</v>
      </c>
      <c r="C649" s="24" t="s">
        <v>21</v>
      </c>
      <c r="D649" s="24" t="s">
        <v>22</v>
      </c>
      <c r="E649" s="24" t="s">
        <v>23</v>
      </c>
      <c r="F649" s="24" t="s">
        <v>24</v>
      </c>
    </row>
    <row r="650" spans="1:10" ht="14.1" customHeight="1" thickBot="1" x14ac:dyDescent="0.3">
      <c r="A650" s="26" t="s">
        <v>159</v>
      </c>
      <c r="B650" s="26" t="s">
        <v>160</v>
      </c>
      <c r="C650" s="26" t="s">
        <v>27</v>
      </c>
      <c r="D650" s="26" t="s">
        <v>53</v>
      </c>
      <c r="E650" s="26" t="s">
        <v>54</v>
      </c>
      <c r="F650" s="26"/>
    </row>
    <row r="651" spans="1:10" ht="14.1" customHeight="1" thickBot="1" x14ac:dyDescent="0.3">
      <c r="A651" s="43" t="s">
        <v>30</v>
      </c>
      <c r="B651" s="27" t="s">
        <v>31</v>
      </c>
      <c r="C651" s="28">
        <v>44743</v>
      </c>
      <c r="D651" s="43" t="s">
        <v>32</v>
      </c>
      <c r="E651" s="29" t="s">
        <v>33</v>
      </c>
      <c r="F651" s="30" t="s">
        <v>34</v>
      </c>
    </row>
    <row r="652" spans="1:10" ht="14.1" customHeight="1" thickBot="1" x14ac:dyDescent="0.3">
      <c r="A652" s="44"/>
      <c r="B652" s="27" t="s">
        <v>35</v>
      </c>
      <c r="C652" s="31">
        <f>IF(C651="","",IF(AND(MONTH(C651)&gt;=1,MONTH(C651)&lt;=3),1,IF(AND(MONTH(C651)&gt;=4,MONTH(C651)&lt;=6),2,IF(AND(MONTH(C651)&gt;=7,MONTH(C651)&lt;=9),3,4))))</f>
        <v>3</v>
      </c>
      <c r="D652" s="44"/>
      <c r="E652" s="29" t="s">
        <v>36</v>
      </c>
      <c r="F652" s="30"/>
    </row>
    <row r="653" spans="1:10" ht="14.1" customHeight="1" thickBot="1" x14ac:dyDescent="0.3">
      <c r="A653" s="44"/>
      <c r="B653" s="27" t="s">
        <v>37</v>
      </c>
      <c r="C653" s="28">
        <v>44834</v>
      </c>
      <c r="D653" s="44"/>
      <c r="E653" s="29" t="s">
        <v>38</v>
      </c>
      <c r="F653" s="30"/>
    </row>
    <row r="654" spans="1:10" ht="14.1" customHeight="1" thickBot="1" x14ac:dyDescent="0.3">
      <c r="A654" s="44"/>
      <c r="B654" s="27" t="s">
        <v>35</v>
      </c>
      <c r="C654" s="31">
        <f>IF(C653="","",IF(AND(MONTH(C653)&gt;=1,MONTH(C653)&lt;=3),1,IF(AND(MONTH(C653)&gt;=4,MONTH(C653)&lt;=6),2,IF(AND(MONTH(C653)&gt;=7,MONTH(C653)&lt;=9),3,4))))</f>
        <v>3</v>
      </c>
      <c r="D654" s="44"/>
      <c r="E654" s="29" t="s">
        <v>39</v>
      </c>
      <c r="F654" s="30"/>
    </row>
    <row r="655" spans="1:10" ht="14.1" customHeight="1" x14ac:dyDescent="0.25"/>
    <row r="656" spans="1:10" ht="14.1" customHeight="1" thickBot="1" x14ac:dyDescent="0.3">
      <c r="A656" s="32" t="s">
        <v>40</v>
      </c>
      <c r="B656" s="32" t="s">
        <v>41</v>
      </c>
      <c r="C656" s="32" t="s">
        <v>42</v>
      </c>
      <c r="D656" s="32" t="s">
        <v>43</v>
      </c>
      <c r="E656" s="32" t="s">
        <v>44</v>
      </c>
      <c r="F656" s="32" t="s">
        <v>45</v>
      </c>
    </row>
    <row r="657" spans="1:10" ht="14.1" customHeight="1" x14ac:dyDescent="0.25">
      <c r="A657" s="33" t="s">
        <v>142</v>
      </c>
      <c r="B657" s="34" t="str">
        <f ca="1">IFERROR(INDEX(UNSPSCDes,MATCH(INDIRECT(ADDRESS(ROW(),COLUMN()-1,4)),UNSPSCCode,0)),IF(INDIRECT(ADDRESS(ROW(),COLUMN()-1,4))="32141016","Tubos múltiples",""))</f>
        <v>Tubos múltiples</v>
      </c>
      <c r="C657" s="35" t="str">
        <f>IFERROR(VLOOKUP("UD",'[1]Informacion '!P:Q,2,FALSE),"")</f>
        <v>Unidad</v>
      </c>
      <c r="D657" s="33">
        <v>25</v>
      </c>
      <c r="E657" s="36">
        <v>300</v>
      </c>
      <c r="F657" s="37">
        <f t="shared" ref="F657:F666" ca="1" si="15">INDIRECT(ADDRESS(ROW(),COLUMN()-2,4))*INDIRECT(ADDRESS(ROW(),COLUMN()-1,4))</f>
        <v>7500</v>
      </c>
    </row>
    <row r="658" spans="1:10" ht="14.1" customHeight="1" x14ac:dyDescent="0.25">
      <c r="A658" s="33" t="s">
        <v>144</v>
      </c>
      <c r="B658" s="34" t="str">
        <f ca="1">IFERROR(INDEX(UNSPSCDes,MATCH(INDIRECT(ADDRESS(ROW(),COLUMN()-1,4)),UNSPSCCode,0)),IF(INDIRECT(ADDRESS(ROW(),COLUMN()-1,4))="39121505","Interruptores de resorte",""))</f>
        <v>Interruptores de resorte</v>
      </c>
      <c r="C658" s="35" t="str">
        <f>IFERROR(VLOOKUP("UD",'[1]Informacion '!P:Q,2,FALSE),"")</f>
        <v>Unidad</v>
      </c>
      <c r="D658" s="33">
        <v>15</v>
      </c>
      <c r="E658" s="36">
        <v>250</v>
      </c>
      <c r="F658" s="37">
        <f t="shared" ca="1" si="15"/>
        <v>3750</v>
      </c>
    </row>
    <row r="659" spans="1:10" ht="14.1" customHeight="1" x14ac:dyDescent="0.25">
      <c r="A659" s="33" t="s">
        <v>147</v>
      </c>
      <c r="B659" s="34" t="str">
        <f ca="1">IFERROR(INDEX(UNSPSCDes,MATCH(INDIRECT(ADDRESS(ROW(),COLUMN()-1,4)),UNSPSCCode,0)),IF(INDIRECT(ADDRESS(ROW(),COLUMN()-1,4))="31201610","Pegamentos",""))</f>
        <v>Pegamentos</v>
      </c>
      <c r="C659" s="35" t="str">
        <f>IFERROR(VLOOKUP("UD",'[1]Informacion '!P:Q,2,FALSE),"")</f>
        <v>Unidad</v>
      </c>
      <c r="D659" s="33">
        <v>10</v>
      </c>
      <c r="E659" s="36">
        <v>250</v>
      </c>
      <c r="F659" s="37">
        <f t="shared" ca="1" si="15"/>
        <v>2500</v>
      </c>
    </row>
    <row r="660" spans="1:10" ht="14.1" customHeight="1" x14ac:dyDescent="0.25">
      <c r="A660" s="33" t="s">
        <v>80</v>
      </c>
      <c r="B660" s="34" t="str">
        <f ca="1">IFERROR(INDEX(UNSPSCDes,MATCH(INDIRECT(ADDRESS(ROW(),COLUMN()-1,4)),UNSPSCCode,0)),IF(INDIRECT(ADDRESS(ROW(),COLUMN()-1,4))="39121409","Conectores de cables eléctricos",""))</f>
        <v>Conectores de cables eléctricos</v>
      </c>
      <c r="C660" s="35" t="str">
        <f>IFERROR(VLOOKUP("UD",'[1]Informacion '!P:Q,2,FALSE),"")</f>
        <v>Unidad</v>
      </c>
      <c r="D660" s="33">
        <v>100</v>
      </c>
      <c r="E660" s="36">
        <v>25</v>
      </c>
      <c r="F660" s="37">
        <f t="shared" ca="1" si="15"/>
        <v>2500</v>
      </c>
    </row>
    <row r="661" spans="1:10" ht="14.1" customHeight="1" x14ac:dyDescent="0.25">
      <c r="A661" s="33" t="s">
        <v>148</v>
      </c>
      <c r="B661" s="34" t="str">
        <f ca="1">IFERROR(INDEX(UNSPSCDes,MATCH(INDIRECT(ADDRESS(ROW(),COLUMN()-1,4)),UNSPSCCode,0)),IF(INDIRECT(ADDRESS(ROW(),COLUMN()-1,4))="30181505","Inodoros o excusados",""))</f>
        <v>Inodoros o excusados</v>
      </c>
      <c r="C661" s="35" t="str">
        <f>IFERROR(VLOOKUP("UD",'[1]Informacion '!P:Q,2,FALSE),"")</f>
        <v>Unidad</v>
      </c>
      <c r="D661" s="33">
        <v>2</v>
      </c>
      <c r="E661" s="36">
        <v>8200</v>
      </c>
      <c r="F661" s="37">
        <f t="shared" ca="1" si="15"/>
        <v>16400</v>
      </c>
    </row>
    <row r="662" spans="1:10" ht="14.1" customHeight="1" x14ac:dyDescent="0.25">
      <c r="A662" s="33" t="s">
        <v>149</v>
      </c>
      <c r="B662" s="34" t="str">
        <f ca="1">IFERROR(INDEX(UNSPSCDes,MATCH(INDIRECT(ADDRESS(ROW(),COLUMN()-1,4)),UNSPSCCode,0)),IF(INDIRECT(ADDRESS(ROW(),COLUMN()-1,4))="30181504","Lavamanos",""))</f>
        <v>Lavamanos</v>
      </c>
      <c r="C662" s="35" t="str">
        <f>IFERROR(VLOOKUP("UD",'[1]Informacion '!P:Q,2,FALSE),"")</f>
        <v>Unidad</v>
      </c>
      <c r="D662" s="33">
        <v>2</v>
      </c>
      <c r="E662" s="36">
        <v>3000</v>
      </c>
      <c r="F662" s="37">
        <f t="shared" ca="1" si="15"/>
        <v>6000</v>
      </c>
    </row>
    <row r="663" spans="1:10" ht="14.1" customHeight="1" x14ac:dyDescent="0.25">
      <c r="A663" s="33" t="s">
        <v>150</v>
      </c>
      <c r="B663" s="34" t="str">
        <f ca="1">IFERROR(INDEX(UNSPSCDes,MATCH(INDIRECT(ADDRESS(ROW(),COLUMN()-1,4)),UNSPSCCode,0)),IF(INDIRECT(ADDRESS(ROW(),COLUMN()-1,4))="30181506","Orinales",""))</f>
        <v>Orinales</v>
      </c>
      <c r="C663" s="35" t="str">
        <f>IFERROR(VLOOKUP("UD",'[1]Informacion '!P:Q,2,FALSE),"")</f>
        <v>Unidad</v>
      </c>
      <c r="D663" s="33">
        <v>2</v>
      </c>
      <c r="E663" s="36">
        <v>6000</v>
      </c>
      <c r="F663" s="37">
        <f t="shared" ca="1" si="15"/>
        <v>12000</v>
      </c>
    </row>
    <row r="664" spans="1:10" ht="14.1" customHeight="1" x14ac:dyDescent="0.25">
      <c r="A664" s="33" t="s">
        <v>154</v>
      </c>
      <c r="B664" s="34" t="str">
        <f ca="1">IFERROR(INDEX(UNSPSCDes,MATCH(INDIRECT(ADDRESS(ROW(),COLUMN()-1,4)),UNSPSCCode,0)),IF(INDIRECT(ADDRESS(ROW(),COLUMN()-1,4))="39111521","Plafones",""))</f>
        <v>Plafones</v>
      </c>
      <c r="C664" s="35" t="str">
        <f>IFERROR(VLOOKUP("CAJ",'[1]Informacion '!P:Q,2,FALSE),"")</f>
        <v>Caja</v>
      </c>
      <c r="D664" s="33">
        <v>3</v>
      </c>
      <c r="E664" s="36">
        <v>3500</v>
      </c>
      <c r="F664" s="37">
        <f t="shared" ca="1" si="15"/>
        <v>10500</v>
      </c>
    </row>
    <row r="665" spans="1:10" ht="14.1" customHeight="1" x14ac:dyDescent="0.25">
      <c r="A665" s="33" t="s">
        <v>157</v>
      </c>
      <c r="B665" s="34" t="str">
        <f ca="1">IFERROR(INDEX(UNSPSCDes,MATCH(INDIRECT(ADDRESS(ROW(),COLUMN()-1,4)),UNSPSCCode,0)),IF(INDIRECT(ADDRESS(ROW(),COLUMN()-1,4))="31201605","Masillas",""))</f>
        <v>Masillas</v>
      </c>
      <c r="C665" s="35" t="str">
        <f>IFERROR(VLOOKUP("UD",'[1]Informacion '!P:Q,2,FALSE),"")</f>
        <v>Unidad</v>
      </c>
      <c r="D665" s="33">
        <v>5</v>
      </c>
      <c r="E665" s="36">
        <v>220</v>
      </c>
      <c r="F665" s="37">
        <f t="shared" ca="1" si="15"/>
        <v>1100</v>
      </c>
    </row>
    <row r="666" spans="1:10" ht="14.1" customHeight="1" x14ac:dyDescent="0.25">
      <c r="A666" s="33" t="s">
        <v>146</v>
      </c>
      <c r="B666" s="34" t="str">
        <f ca="1">IFERROR(INDEX(UNSPSCDes,MATCH(INDIRECT(ADDRESS(ROW(),COLUMN()-1,4)),UNSPSCCode,0)),IF(INDIRECT(ADDRESS(ROW(),COLUMN()-1,4))="39101605","Lámparas fluorescentes",""))</f>
        <v>Lámparas fluorescentes</v>
      </c>
      <c r="C666" s="35" t="str">
        <f>IFERROR(VLOOKUP("UD",'[1]Informacion '!P:Q,2,FALSE),"")</f>
        <v>Unidad</v>
      </c>
      <c r="D666" s="33">
        <v>20</v>
      </c>
      <c r="E666" s="36">
        <v>2300</v>
      </c>
      <c r="F666" s="37">
        <f t="shared" ca="1" si="15"/>
        <v>46000</v>
      </c>
    </row>
    <row r="667" spans="1:10" ht="14.1" customHeight="1" x14ac:dyDescent="0.25">
      <c r="E667" s="38" t="s">
        <v>48</v>
      </c>
      <c r="F667" s="39">
        <f ca="1">SUM(Table50[MONTO TOTAL ESTIMADO])</f>
        <v>108250</v>
      </c>
      <c r="H667" s="25" t="str">
        <f>C650</f>
        <v>Bienes</v>
      </c>
      <c r="I667" s="25" t="str">
        <f>E650</f>
        <v>Sí</v>
      </c>
      <c r="J667" s="25" t="str">
        <f>D650</f>
        <v>Compras por debajo del Umbral</v>
      </c>
    </row>
    <row r="668" spans="1:10" ht="14.1" customHeight="1" x14ac:dyDescent="0.25"/>
    <row r="669" spans="1:10" ht="34.15" customHeight="1" thickBot="1" x14ac:dyDescent="0.3">
      <c r="A669" s="24" t="s">
        <v>19</v>
      </c>
      <c r="B669" s="24" t="s">
        <v>20</v>
      </c>
      <c r="C669" s="24" t="s">
        <v>21</v>
      </c>
      <c r="D669" s="24" t="s">
        <v>22</v>
      </c>
      <c r="E669" s="24" t="s">
        <v>23</v>
      </c>
      <c r="F669" s="24" t="s">
        <v>24</v>
      </c>
    </row>
    <row r="670" spans="1:10" ht="14.1" customHeight="1" thickBot="1" x14ac:dyDescent="0.3">
      <c r="A670" s="26" t="s">
        <v>159</v>
      </c>
      <c r="B670" s="26" t="s">
        <v>161</v>
      </c>
      <c r="C670" s="26" t="s">
        <v>27</v>
      </c>
      <c r="D670" s="26" t="s">
        <v>53</v>
      </c>
      <c r="E670" s="26" t="s">
        <v>54</v>
      </c>
      <c r="F670" s="26"/>
    </row>
    <row r="671" spans="1:10" ht="14.1" customHeight="1" thickBot="1" x14ac:dyDescent="0.3">
      <c r="A671" s="43" t="s">
        <v>30</v>
      </c>
      <c r="B671" s="27" t="s">
        <v>31</v>
      </c>
      <c r="C671" s="28">
        <v>44835</v>
      </c>
      <c r="D671" s="43" t="s">
        <v>32</v>
      </c>
      <c r="E671" s="29" t="s">
        <v>33</v>
      </c>
      <c r="F671" s="30" t="s">
        <v>34</v>
      </c>
    </row>
    <row r="672" spans="1:10" ht="14.1" customHeight="1" thickBot="1" x14ac:dyDescent="0.3">
      <c r="A672" s="44"/>
      <c r="B672" s="27" t="s">
        <v>35</v>
      </c>
      <c r="C672" s="31">
        <f>IF(C671="","",IF(AND(MONTH(C671)&gt;=1,MONTH(C671)&lt;=3),1,IF(AND(MONTH(C671)&gt;=4,MONTH(C671)&lt;=6),2,IF(AND(MONTH(C671)&gt;=7,MONTH(C671)&lt;=9),3,4))))</f>
        <v>4</v>
      </c>
      <c r="D672" s="44"/>
      <c r="E672" s="29" t="s">
        <v>36</v>
      </c>
      <c r="F672" s="30"/>
    </row>
    <row r="673" spans="1:10" ht="14.1" customHeight="1" thickBot="1" x14ac:dyDescent="0.3">
      <c r="A673" s="44"/>
      <c r="B673" s="27" t="s">
        <v>37</v>
      </c>
      <c r="C673" s="28">
        <v>44926</v>
      </c>
      <c r="D673" s="44"/>
      <c r="E673" s="29" t="s">
        <v>38</v>
      </c>
      <c r="F673" s="30"/>
    </row>
    <row r="674" spans="1:10" ht="14.1" customHeight="1" thickBot="1" x14ac:dyDescent="0.3">
      <c r="A674" s="44"/>
      <c r="B674" s="27" t="s">
        <v>35</v>
      </c>
      <c r="C674" s="31">
        <f>IF(C673="","",IF(AND(MONTH(C673)&gt;=1,MONTH(C673)&lt;=3),1,IF(AND(MONTH(C673)&gt;=4,MONTH(C673)&lt;=6),2,IF(AND(MONTH(C673)&gt;=7,MONTH(C673)&lt;=9),3,4))))</f>
        <v>4</v>
      </c>
      <c r="D674" s="44"/>
      <c r="E674" s="29" t="s">
        <v>39</v>
      </c>
      <c r="F674" s="30"/>
    </row>
    <row r="675" spans="1:10" ht="14.1" customHeight="1" x14ac:dyDescent="0.25"/>
    <row r="676" spans="1:10" ht="14.1" customHeight="1" thickBot="1" x14ac:dyDescent="0.3">
      <c r="A676" s="32" t="s">
        <v>40</v>
      </c>
      <c r="B676" s="32" t="s">
        <v>41</v>
      </c>
      <c r="C676" s="32" t="s">
        <v>42</v>
      </c>
      <c r="D676" s="32" t="s">
        <v>43</v>
      </c>
      <c r="E676" s="32" t="s">
        <v>44</v>
      </c>
      <c r="F676" s="32" t="s">
        <v>45</v>
      </c>
    </row>
    <row r="677" spans="1:10" ht="14.1" customHeight="1" x14ac:dyDescent="0.25">
      <c r="A677" s="33" t="s">
        <v>162</v>
      </c>
      <c r="B677" s="34" t="str">
        <f ca="1">IFERROR(INDEX(UNSPSCDes,MATCH(INDIRECT(ADDRESS(ROW(),COLUMN()-1,4)),UNSPSCCode,0)),IF(INDIRECT(ADDRESS(ROW(),COLUMN()-1,4))="12352310","Siliconas",""))</f>
        <v>Siliconas</v>
      </c>
      <c r="C677" s="35" t="str">
        <f>IFERROR(VLOOKUP("UD",'[1]Informacion '!P:Q,2,FALSE),"")</f>
        <v>Unidad</v>
      </c>
      <c r="D677" s="33">
        <v>2</v>
      </c>
      <c r="E677" s="36">
        <v>350</v>
      </c>
      <c r="F677" s="37">
        <f ca="1">INDIRECT(ADDRESS(ROW(),COLUMN()-2,4))*INDIRECT(ADDRESS(ROW(),COLUMN()-1,4))</f>
        <v>700</v>
      </c>
    </row>
    <row r="678" spans="1:10" ht="14.1" customHeight="1" x14ac:dyDescent="0.25">
      <c r="A678" s="33" t="s">
        <v>163</v>
      </c>
      <c r="B678" s="34" t="str">
        <f ca="1">IFERROR(INDEX(UNSPSCDes,MATCH(INDIRECT(ADDRESS(ROW(),COLUMN()-1,4)),UNSPSCCode,0)),IF(INDIRECT(ADDRESS(ROW(),COLUMN()-1,4))="39121311","Accesorios eléctricos",""))</f>
        <v>Accesorios eléctricos</v>
      </c>
      <c r="C678" s="35" t="str">
        <f>IFERROR(VLOOKUP("UD",'[1]Informacion '!P:Q,2,FALSE),"")</f>
        <v>Unidad</v>
      </c>
      <c r="D678" s="33">
        <v>2</v>
      </c>
      <c r="E678" s="36">
        <v>200</v>
      </c>
      <c r="F678" s="37">
        <f ca="1">INDIRECT(ADDRESS(ROW(),COLUMN()-2,4))*INDIRECT(ADDRESS(ROW(),COLUMN()-1,4))</f>
        <v>400</v>
      </c>
    </row>
    <row r="679" spans="1:10" ht="14.1" customHeight="1" x14ac:dyDescent="0.25">
      <c r="A679" s="33" t="s">
        <v>154</v>
      </c>
      <c r="B679" s="34" t="str">
        <f ca="1">IFERROR(INDEX(UNSPSCDes,MATCH(INDIRECT(ADDRESS(ROW(),COLUMN()-1,4)),UNSPSCCode,0)),IF(INDIRECT(ADDRESS(ROW(),COLUMN()-1,4))="39111521","Plafones",""))</f>
        <v>Plafones</v>
      </c>
      <c r="C679" s="35" t="str">
        <f>IFERROR(VLOOKUP("UD",'[1]Informacion '!P:Q,2,FALSE),"")</f>
        <v>Unidad</v>
      </c>
      <c r="D679" s="33">
        <v>15</v>
      </c>
      <c r="E679" s="36">
        <v>95</v>
      </c>
      <c r="F679" s="37">
        <f ca="1">INDIRECT(ADDRESS(ROW(),COLUMN()-2,4))*INDIRECT(ADDRESS(ROW(),COLUMN()-1,4))</f>
        <v>1425</v>
      </c>
    </row>
    <row r="680" spans="1:10" ht="14.1" customHeight="1" x14ac:dyDescent="0.25">
      <c r="A680" s="33" t="s">
        <v>147</v>
      </c>
      <c r="B680" s="34" t="str">
        <f ca="1">IFERROR(INDEX(UNSPSCDes,MATCH(INDIRECT(ADDRESS(ROW(),COLUMN()-1,4)),UNSPSCCode,0)),IF(INDIRECT(ADDRESS(ROW(),COLUMN()-1,4))="31201610","Pegamentos",""))</f>
        <v>Pegamentos</v>
      </c>
      <c r="C680" s="35" t="str">
        <f>IFERROR(VLOOKUP("UD",'[1]Informacion '!P:Q,2,FALSE),"")</f>
        <v>Unidad</v>
      </c>
      <c r="D680" s="33">
        <v>2</v>
      </c>
      <c r="E680" s="36">
        <v>250</v>
      </c>
      <c r="F680" s="37">
        <f ca="1">INDIRECT(ADDRESS(ROW(),COLUMN()-2,4))*INDIRECT(ADDRESS(ROW(),COLUMN()-1,4))</f>
        <v>500</v>
      </c>
    </row>
    <row r="681" spans="1:10" ht="14.1" customHeight="1" x14ac:dyDescent="0.25">
      <c r="A681" s="33" t="s">
        <v>157</v>
      </c>
      <c r="B681" s="34" t="str">
        <f ca="1">IFERROR(INDEX(UNSPSCDes,MATCH(INDIRECT(ADDRESS(ROW(),COLUMN()-1,4)),UNSPSCCode,0)),IF(INDIRECT(ADDRESS(ROW(),COLUMN()-1,4))="31201605","Masillas",""))</f>
        <v>Masillas</v>
      </c>
      <c r="C681" s="35" t="str">
        <f>IFERROR(VLOOKUP("UD",'[1]Informacion '!P:Q,2,FALSE),"")</f>
        <v>Unidad</v>
      </c>
      <c r="D681" s="33">
        <v>5</v>
      </c>
      <c r="E681" s="36">
        <v>220</v>
      </c>
      <c r="F681" s="37">
        <f ca="1">INDIRECT(ADDRESS(ROW(),COLUMN()-2,4))*INDIRECT(ADDRESS(ROW(),COLUMN()-1,4))</f>
        <v>1100</v>
      </c>
    </row>
    <row r="682" spans="1:10" ht="14.1" customHeight="1" x14ac:dyDescent="0.25">
      <c r="E682" s="38" t="s">
        <v>48</v>
      </c>
      <c r="F682" s="39">
        <f ca="1">SUM(Table51[MONTO TOTAL ESTIMADO])</f>
        <v>4125</v>
      </c>
      <c r="H682" s="25" t="str">
        <f>C670</f>
        <v>Bienes</v>
      </c>
      <c r="I682" s="25" t="str">
        <f>E670</f>
        <v>Sí</v>
      </c>
      <c r="J682" s="25" t="str">
        <f>D670</f>
        <v>Compras por debajo del Umbral</v>
      </c>
    </row>
    <row r="683" spans="1:10" ht="14.1" customHeight="1" x14ac:dyDescent="0.25"/>
    <row r="684" spans="1:10" ht="34.15" customHeight="1" thickBot="1" x14ac:dyDescent="0.3">
      <c r="A684" s="24" t="s">
        <v>19</v>
      </c>
      <c r="B684" s="24" t="s">
        <v>20</v>
      </c>
      <c r="C684" s="24" t="s">
        <v>21</v>
      </c>
      <c r="D684" s="24" t="s">
        <v>22</v>
      </c>
      <c r="E684" s="24" t="s">
        <v>23</v>
      </c>
      <c r="F684" s="24" t="s">
        <v>24</v>
      </c>
    </row>
    <row r="685" spans="1:10" ht="14.1" customHeight="1" thickBot="1" x14ac:dyDescent="0.3">
      <c r="A685" s="26" t="s">
        <v>164</v>
      </c>
      <c r="B685" s="26" t="s">
        <v>164</v>
      </c>
      <c r="C685" s="26" t="s">
        <v>27</v>
      </c>
      <c r="D685" s="26" t="s">
        <v>53</v>
      </c>
      <c r="E685" s="26" t="s">
        <v>54</v>
      </c>
      <c r="F685" s="26"/>
    </row>
    <row r="686" spans="1:10" ht="14.1" customHeight="1" thickBot="1" x14ac:dyDescent="0.3">
      <c r="A686" s="43" t="s">
        <v>30</v>
      </c>
      <c r="B686" s="27" t="s">
        <v>31</v>
      </c>
      <c r="C686" s="28">
        <v>44576</v>
      </c>
      <c r="D686" s="43" t="s">
        <v>32</v>
      </c>
      <c r="E686" s="29" t="s">
        <v>33</v>
      </c>
      <c r="F686" s="30" t="s">
        <v>34</v>
      </c>
    </row>
    <row r="687" spans="1:10" ht="14.1" customHeight="1" thickBot="1" x14ac:dyDescent="0.3">
      <c r="A687" s="44"/>
      <c r="B687" s="27" t="s">
        <v>35</v>
      </c>
      <c r="C687" s="31">
        <f>IF(C686="","",IF(AND(MONTH(C686)&gt;=1,MONTH(C686)&lt;=3),1,IF(AND(MONTH(C686)&gt;=4,MONTH(C686)&lt;=6),2,IF(AND(MONTH(C686)&gt;=7,MONTH(C686)&lt;=9),3,4))))</f>
        <v>1</v>
      </c>
      <c r="D687" s="44"/>
      <c r="E687" s="29" t="s">
        <v>36</v>
      </c>
      <c r="F687" s="30"/>
    </row>
    <row r="688" spans="1:10" ht="14.1" customHeight="1" thickBot="1" x14ac:dyDescent="0.3">
      <c r="A688" s="44"/>
      <c r="B688" s="27" t="s">
        <v>37</v>
      </c>
      <c r="C688" s="28">
        <v>44651</v>
      </c>
      <c r="D688" s="44"/>
      <c r="E688" s="29" t="s">
        <v>38</v>
      </c>
      <c r="F688" s="30"/>
    </row>
    <row r="689" spans="1:10" ht="14.1" customHeight="1" thickBot="1" x14ac:dyDescent="0.3">
      <c r="A689" s="44"/>
      <c r="B689" s="27" t="s">
        <v>35</v>
      </c>
      <c r="C689" s="31">
        <f>IF(C688="","",IF(AND(MONTH(C688)&gt;=1,MONTH(C688)&lt;=3),1,IF(AND(MONTH(C688)&gt;=4,MONTH(C688)&lt;=6),2,IF(AND(MONTH(C688)&gt;=7,MONTH(C688)&lt;=9),3,4))))</f>
        <v>1</v>
      </c>
      <c r="D689" s="44"/>
      <c r="E689" s="29" t="s">
        <v>39</v>
      </c>
      <c r="F689" s="30"/>
    </row>
    <row r="690" spans="1:10" ht="14.1" customHeight="1" x14ac:dyDescent="0.25"/>
    <row r="691" spans="1:10" ht="14.1" customHeight="1" thickBot="1" x14ac:dyDescent="0.3">
      <c r="A691" s="32" t="s">
        <v>40</v>
      </c>
      <c r="B691" s="32" t="s">
        <v>41</v>
      </c>
      <c r="C691" s="32" t="s">
        <v>42</v>
      </c>
      <c r="D691" s="32" t="s">
        <v>43</v>
      </c>
      <c r="E691" s="32" t="s">
        <v>44</v>
      </c>
      <c r="F691" s="32" t="s">
        <v>45</v>
      </c>
    </row>
    <row r="692" spans="1:10" ht="14.1" customHeight="1" x14ac:dyDescent="0.25">
      <c r="A692" s="33" t="s">
        <v>165</v>
      </c>
      <c r="B692" s="34" t="str">
        <f ca="1">IFERROR(INDEX(UNSPSCDes,MATCH(INDIRECT(ADDRESS(ROW(),COLUMN()-1,4)),UNSPSCCode,0)),IF(INDIRECT(ADDRESS(ROW(),COLUMN()-1,4))="31211506","Pinturas de látex",""))</f>
        <v>Pinturas de látex</v>
      </c>
      <c r="C692" s="35" t="str">
        <f>IFERROR(VLOOKUP("GAL",'[1]Informacion '!P:Q,2,FALSE),"")</f>
        <v>Galón</v>
      </c>
      <c r="D692" s="33">
        <v>50</v>
      </c>
      <c r="E692" s="36">
        <v>1540</v>
      </c>
      <c r="F692" s="37">
        <f t="shared" ref="F692:F699" ca="1" si="16">INDIRECT(ADDRESS(ROW(),COLUMN()-2,4))*INDIRECT(ADDRESS(ROW(),COLUMN()-1,4))</f>
        <v>77000</v>
      </c>
    </row>
    <row r="693" spans="1:10" ht="14.1" customHeight="1" x14ac:dyDescent="0.25">
      <c r="A693" s="33" t="s">
        <v>166</v>
      </c>
      <c r="B693" s="34" t="str">
        <f ca="1">IFERROR(INDEX(UNSPSCDes,MATCH(INDIRECT(ADDRESS(ROW(),COLUMN()-1,4)),UNSPSCCode,0)),IF(INDIRECT(ADDRESS(ROW(),COLUMN()-1,4))="31211508","Pinturas acrílicas",""))</f>
        <v>Pinturas acrílicas</v>
      </c>
      <c r="C693" s="35" t="str">
        <f>IFERROR(VLOOKUP("GAL",'[1]Informacion '!P:Q,2,FALSE),"")</f>
        <v>Galón</v>
      </c>
      <c r="D693" s="33">
        <v>25</v>
      </c>
      <c r="E693" s="36">
        <v>1350</v>
      </c>
      <c r="F693" s="37">
        <f t="shared" ca="1" si="16"/>
        <v>33750</v>
      </c>
    </row>
    <row r="694" spans="1:10" ht="14.1" customHeight="1" x14ac:dyDescent="0.25">
      <c r="A694" s="33" t="s">
        <v>167</v>
      </c>
      <c r="B694" s="34" t="str">
        <f ca="1">IFERROR(INDEX(UNSPSCDes,MATCH(INDIRECT(ADDRESS(ROW(),COLUMN()-1,4)),UNSPSCCode,0)),IF(INDIRECT(ADDRESS(ROW(),COLUMN()-1,4))="11162116","Tela de fique o estopa",""))</f>
        <v>Tela de fique o estopa</v>
      </c>
      <c r="C694" s="35" t="str">
        <f>IFERROR(VLOOKUP("PAQ",'[1]Informacion '!P:Q,2,FALSE),"")</f>
        <v>Paquete</v>
      </c>
      <c r="D694" s="33">
        <v>30</v>
      </c>
      <c r="E694" s="36">
        <v>150</v>
      </c>
      <c r="F694" s="37">
        <f t="shared" ca="1" si="16"/>
        <v>4500</v>
      </c>
    </row>
    <row r="695" spans="1:10" ht="14.1" customHeight="1" x14ac:dyDescent="0.25">
      <c r="A695" s="33" t="s">
        <v>168</v>
      </c>
      <c r="B695" s="34" t="str">
        <f ca="1">IFERROR(INDEX(UNSPSCDes,MATCH(INDIRECT(ADDRESS(ROW(),COLUMN()-1,4)),UNSPSCCode,0)),IF(INDIRECT(ADDRESS(ROW(),COLUMN()-1,4))="31211904","Brochas",""))</f>
        <v>Brochas</v>
      </c>
      <c r="C695" s="35" t="str">
        <f>IFERROR(VLOOKUP("UD",'[1]Informacion '!P:Q,2,FALSE),"")</f>
        <v>Unidad</v>
      </c>
      <c r="D695" s="33">
        <v>10</v>
      </c>
      <c r="E695" s="36">
        <v>110</v>
      </c>
      <c r="F695" s="37">
        <f t="shared" ca="1" si="16"/>
        <v>1100</v>
      </c>
    </row>
    <row r="696" spans="1:10" ht="14.1" customHeight="1" x14ac:dyDescent="0.25">
      <c r="A696" s="33" t="s">
        <v>169</v>
      </c>
      <c r="B696" s="34" t="str">
        <f ca="1">IFERROR(INDEX(UNSPSCDes,MATCH(INDIRECT(ADDRESS(ROW(),COLUMN()-1,4)),UNSPSCCode,0)),IF(INDIRECT(ADDRESS(ROW(),COLUMN()-1,4))="31211906","Rodillos de pintar",""))</f>
        <v>Rodillos de pintar</v>
      </c>
      <c r="C696" s="35" t="str">
        <f>IFERROR(VLOOKUP("UD",'[1]Informacion '!P:Q,2,FALSE),"")</f>
        <v>Unidad</v>
      </c>
      <c r="D696" s="33">
        <v>5</v>
      </c>
      <c r="E696" s="36">
        <v>300</v>
      </c>
      <c r="F696" s="37">
        <f t="shared" ca="1" si="16"/>
        <v>1500</v>
      </c>
    </row>
    <row r="697" spans="1:10" ht="14.1" customHeight="1" x14ac:dyDescent="0.25">
      <c r="A697" s="33" t="s">
        <v>170</v>
      </c>
      <c r="B697" s="34" t="str">
        <f ca="1">IFERROR(INDEX(UNSPSCDes,MATCH(INDIRECT(ADDRESS(ROW(),COLUMN()-1,4)),UNSPSCCode,0)),IF(INDIRECT(ADDRESS(ROW(),COLUMN()-1,4))="31211912","Varillas telescópicas",""))</f>
        <v>Varillas telescópicas</v>
      </c>
      <c r="C697" s="35" t="str">
        <f>IFERROR(VLOOKUP("UD",'[1]Informacion '!P:Q,2,FALSE),"")</f>
        <v>Unidad</v>
      </c>
      <c r="D697" s="33">
        <v>5</v>
      </c>
      <c r="E697" s="36">
        <v>300</v>
      </c>
      <c r="F697" s="37">
        <f t="shared" ca="1" si="16"/>
        <v>1500</v>
      </c>
    </row>
    <row r="698" spans="1:10" ht="14.1" customHeight="1" x14ac:dyDescent="0.25">
      <c r="A698" s="33" t="s">
        <v>171</v>
      </c>
      <c r="B698" s="34" t="str">
        <f ca="1">IFERROR(INDEX(UNSPSCDes,MATCH(INDIRECT(ADDRESS(ROW(),COLUMN()-1,4)),UNSPSCCode,0)),IF(INDIRECT(ADDRESS(ROW(),COLUMN()-1,4))="31201515","Cintas de papel",""))</f>
        <v>Cintas de papel</v>
      </c>
      <c r="C698" s="35" t="str">
        <f>IFERROR(VLOOKUP("UD",'[1]Informacion '!P:Q,2,FALSE),"")</f>
        <v>Unidad</v>
      </c>
      <c r="D698" s="33">
        <v>5</v>
      </c>
      <c r="E698" s="36">
        <v>60</v>
      </c>
      <c r="F698" s="37">
        <f t="shared" ca="1" si="16"/>
        <v>300</v>
      </c>
    </row>
    <row r="699" spans="1:10" ht="14.1" customHeight="1" x14ac:dyDescent="0.25">
      <c r="A699" s="33" t="s">
        <v>172</v>
      </c>
      <c r="B699" s="34" t="str">
        <f ca="1">IFERROR(INDEX(UNSPSCDes,MATCH(INDIRECT(ADDRESS(ROW(),COLUMN()-1,4)),UNSPSCCode,0)),IF(INDIRECT(ADDRESS(ROW(),COLUMN()-1,4))="31211909","Bandejas de pintura",""))</f>
        <v>Bandejas de pintura</v>
      </c>
      <c r="C699" s="35" t="str">
        <f>IFERROR(VLOOKUP("UD",'[1]Informacion '!P:Q,2,FALSE),"")</f>
        <v>Unidad</v>
      </c>
      <c r="D699" s="33">
        <v>5</v>
      </c>
      <c r="E699" s="36">
        <v>150</v>
      </c>
      <c r="F699" s="37">
        <f t="shared" ca="1" si="16"/>
        <v>750</v>
      </c>
    </row>
    <row r="700" spans="1:10" ht="14.1" customHeight="1" x14ac:dyDescent="0.25">
      <c r="E700" s="38" t="s">
        <v>48</v>
      </c>
      <c r="F700" s="39">
        <f ca="1">SUM(Table52[MONTO TOTAL ESTIMADO])</f>
        <v>120400</v>
      </c>
      <c r="H700" s="25" t="str">
        <f>C685</f>
        <v>Bienes</v>
      </c>
      <c r="I700" s="25" t="str">
        <f>E685</f>
        <v>Sí</v>
      </c>
      <c r="J700" s="25" t="str">
        <f>D685</f>
        <v>Compras por debajo del Umbral</v>
      </c>
    </row>
    <row r="701" spans="1:10" ht="14.1" customHeight="1" x14ac:dyDescent="0.25"/>
    <row r="702" spans="1:10" ht="34.15" customHeight="1" thickBot="1" x14ac:dyDescent="0.3">
      <c r="A702" s="24" t="s">
        <v>19</v>
      </c>
      <c r="B702" s="24" t="s">
        <v>20</v>
      </c>
      <c r="C702" s="24" t="s">
        <v>21</v>
      </c>
      <c r="D702" s="24" t="s">
        <v>22</v>
      </c>
      <c r="E702" s="24" t="s">
        <v>23</v>
      </c>
      <c r="F702" s="24" t="s">
        <v>24</v>
      </c>
    </row>
    <row r="703" spans="1:10" ht="14.1" customHeight="1" thickBot="1" x14ac:dyDescent="0.3">
      <c r="A703" s="26" t="s">
        <v>164</v>
      </c>
      <c r="B703" s="26" t="s">
        <v>164</v>
      </c>
      <c r="C703" s="26" t="s">
        <v>27</v>
      </c>
      <c r="D703" s="26" t="s">
        <v>53</v>
      </c>
      <c r="E703" s="26" t="s">
        <v>54</v>
      </c>
      <c r="F703" s="26"/>
    </row>
    <row r="704" spans="1:10" ht="14.1" customHeight="1" thickBot="1" x14ac:dyDescent="0.3">
      <c r="A704" s="43" t="s">
        <v>30</v>
      </c>
      <c r="B704" s="27" t="s">
        <v>31</v>
      </c>
      <c r="C704" s="28">
        <v>44743</v>
      </c>
      <c r="D704" s="43" t="s">
        <v>32</v>
      </c>
      <c r="E704" s="29" t="s">
        <v>33</v>
      </c>
      <c r="F704" s="30" t="s">
        <v>34</v>
      </c>
    </row>
    <row r="705" spans="1:10" ht="14.1" customHeight="1" thickBot="1" x14ac:dyDescent="0.3">
      <c r="A705" s="44"/>
      <c r="B705" s="27" t="s">
        <v>35</v>
      </c>
      <c r="C705" s="31">
        <f>IF(C704="","",IF(AND(MONTH(C704)&gt;=1,MONTH(C704)&lt;=3),1,IF(AND(MONTH(C704)&gt;=4,MONTH(C704)&lt;=6),2,IF(AND(MONTH(C704)&gt;=7,MONTH(C704)&lt;=9),3,4))))</f>
        <v>3</v>
      </c>
      <c r="D705" s="44"/>
      <c r="E705" s="29" t="s">
        <v>36</v>
      </c>
      <c r="F705" s="30"/>
    </row>
    <row r="706" spans="1:10" ht="14.1" customHeight="1" thickBot="1" x14ac:dyDescent="0.3">
      <c r="A706" s="44"/>
      <c r="B706" s="27" t="s">
        <v>37</v>
      </c>
      <c r="C706" s="28">
        <v>44834</v>
      </c>
      <c r="D706" s="44"/>
      <c r="E706" s="29" t="s">
        <v>38</v>
      </c>
      <c r="F706" s="30"/>
    </row>
    <row r="707" spans="1:10" ht="14.1" customHeight="1" thickBot="1" x14ac:dyDescent="0.3">
      <c r="A707" s="44"/>
      <c r="B707" s="27" t="s">
        <v>35</v>
      </c>
      <c r="C707" s="31">
        <f>IF(C706="","",IF(AND(MONTH(C706)&gt;=1,MONTH(C706)&lt;=3),1,IF(AND(MONTH(C706)&gt;=4,MONTH(C706)&lt;=6),2,IF(AND(MONTH(C706)&gt;=7,MONTH(C706)&lt;=9),3,4))))</f>
        <v>3</v>
      </c>
      <c r="D707" s="44"/>
      <c r="E707" s="29" t="s">
        <v>39</v>
      </c>
      <c r="F707" s="30"/>
    </row>
    <row r="708" spans="1:10" ht="14.1" customHeight="1" x14ac:dyDescent="0.25"/>
    <row r="709" spans="1:10" ht="14.1" customHeight="1" thickBot="1" x14ac:dyDescent="0.3">
      <c r="A709" s="32" t="s">
        <v>40</v>
      </c>
      <c r="B709" s="32" t="s">
        <v>41</v>
      </c>
      <c r="C709" s="32" t="s">
        <v>42</v>
      </c>
      <c r="D709" s="32" t="s">
        <v>43</v>
      </c>
      <c r="E709" s="32" t="s">
        <v>44</v>
      </c>
      <c r="F709" s="32" t="s">
        <v>45</v>
      </c>
    </row>
    <row r="710" spans="1:10" ht="14.1" customHeight="1" x14ac:dyDescent="0.25">
      <c r="A710" s="33" t="s">
        <v>165</v>
      </c>
      <c r="B710" s="34" t="str">
        <f ca="1">IFERROR(INDEX(UNSPSCDes,MATCH(INDIRECT(ADDRESS(ROW(),COLUMN()-1,4)),UNSPSCCode,0)),IF(INDIRECT(ADDRESS(ROW(),COLUMN()-1,4))="31211506","Pinturas de látex",""))</f>
        <v>Pinturas de látex</v>
      </c>
      <c r="C710" s="35" t="str">
        <f>IFERROR(VLOOKUP("GAL",'[1]Informacion '!P:Q,2,FALSE),"")</f>
        <v>Galón</v>
      </c>
      <c r="D710" s="33">
        <v>5</v>
      </c>
      <c r="E710" s="36">
        <v>1540</v>
      </c>
      <c r="F710" s="37">
        <f t="shared" ref="F710:F717" ca="1" si="17">INDIRECT(ADDRESS(ROW(),COLUMN()-2,4))*INDIRECT(ADDRESS(ROW(),COLUMN()-1,4))</f>
        <v>7700</v>
      </c>
    </row>
    <row r="711" spans="1:10" ht="14.1" customHeight="1" x14ac:dyDescent="0.25">
      <c r="A711" s="33" t="s">
        <v>166</v>
      </c>
      <c r="B711" s="34" t="str">
        <f ca="1">IFERROR(INDEX(UNSPSCDes,MATCH(INDIRECT(ADDRESS(ROW(),COLUMN()-1,4)),UNSPSCCode,0)),IF(INDIRECT(ADDRESS(ROW(),COLUMN()-1,4))="31211508","Pinturas acrílicas",""))</f>
        <v>Pinturas acrílicas</v>
      </c>
      <c r="C711" s="35" t="str">
        <f>IFERROR(VLOOKUP("UD",'[1]Informacion '!P:Q,2,FALSE),"")</f>
        <v>Unidad</v>
      </c>
      <c r="D711" s="33">
        <v>5</v>
      </c>
      <c r="E711" s="36">
        <v>1350</v>
      </c>
      <c r="F711" s="37">
        <f t="shared" ca="1" si="17"/>
        <v>6750</v>
      </c>
    </row>
    <row r="712" spans="1:10" ht="14.1" customHeight="1" x14ac:dyDescent="0.25">
      <c r="A712" s="33" t="s">
        <v>167</v>
      </c>
      <c r="B712" s="34" t="str">
        <f ca="1">IFERROR(INDEX(UNSPSCDes,MATCH(INDIRECT(ADDRESS(ROW(),COLUMN()-1,4)),UNSPSCCode,0)),IF(INDIRECT(ADDRESS(ROW(),COLUMN()-1,4))="11162116","Tela de fique o estopa",""))</f>
        <v>Tela de fique o estopa</v>
      </c>
      <c r="C712" s="35" t="str">
        <f>IFERROR(VLOOKUP("PAQ",'[1]Informacion '!P:Q,2,FALSE),"")</f>
        <v>Paquete</v>
      </c>
      <c r="D712" s="33">
        <v>1</v>
      </c>
      <c r="E712" s="36">
        <v>150</v>
      </c>
      <c r="F712" s="37">
        <f t="shared" ca="1" si="17"/>
        <v>150</v>
      </c>
    </row>
    <row r="713" spans="1:10" ht="14.1" customHeight="1" x14ac:dyDescent="0.25">
      <c r="A713" s="33" t="s">
        <v>168</v>
      </c>
      <c r="B713" s="34" t="str">
        <f ca="1">IFERROR(INDEX(UNSPSCDes,MATCH(INDIRECT(ADDRESS(ROW(),COLUMN()-1,4)),UNSPSCCode,0)),IF(INDIRECT(ADDRESS(ROW(),COLUMN()-1,4))="31211904","Brochas",""))</f>
        <v>Brochas</v>
      </c>
      <c r="C713" s="35" t="str">
        <f>IFERROR(VLOOKUP("UD",'[1]Informacion '!P:Q,2,FALSE),"")</f>
        <v>Unidad</v>
      </c>
      <c r="D713" s="33">
        <v>3</v>
      </c>
      <c r="E713" s="36">
        <v>110</v>
      </c>
      <c r="F713" s="37">
        <f t="shared" ca="1" si="17"/>
        <v>330</v>
      </c>
    </row>
    <row r="714" spans="1:10" ht="14.1" customHeight="1" x14ac:dyDescent="0.25">
      <c r="A714" s="33" t="s">
        <v>169</v>
      </c>
      <c r="B714" s="34" t="str">
        <f ca="1">IFERROR(INDEX(UNSPSCDes,MATCH(INDIRECT(ADDRESS(ROW(),COLUMN()-1,4)),UNSPSCCode,0)),IF(INDIRECT(ADDRESS(ROW(),COLUMN()-1,4))="31211906","Rodillos de pintar",""))</f>
        <v>Rodillos de pintar</v>
      </c>
      <c r="C714" s="35" t="str">
        <f>IFERROR(VLOOKUP("UD",'[1]Informacion '!P:Q,2,FALSE),"")</f>
        <v>Unidad</v>
      </c>
      <c r="D714" s="33">
        <v>3</v>
      </c>
      <c r="E714" s="36">
        <v>300</v>
      </c>
      <c r="F714" s="37">
        <f t="shared" ca="1" si="17"/>
        <v>900</v>
      </c>
    </row>
    <row r="715" spans="1:10" ht="14.1" customHeight="1" x14ac:dyDescent="0.25">
      <c r="A715" s="33" t="s">
        <v>170</v>
      </c>
      <c r="B715" s="34" t="str">
        <f ca="1">IFERROR(INDEX(UNSPSCDes,MATCH(INDIRECT(ADDRESS(ROW(),COLUMN()-1,4)),UNSPSCCode,0)),IF(INDIRECT(ADDRESS(ROW(),COLUMN()-1,4))="31211912","Varillas telescópicas",""))</f>
        <v>Varillas telescópicas</v>
      </c>
      <c r="C715" s="35" t="str">
        <f>IFERROR(VLOOKUP("UD",'[1]Informacion '!P:Q,2,FALSE),"")</f>
        <v>Unidad</v>
      </c>
      <c r="D715" s="33">
        <v>3</v>
      </c>
      <c r="E715" s="36">
        <v>300</v>
      </c>
      <c r="F715" s="37">
        <f t="shared" ca="1" si="17"/>
        <v>900</v>
      </c>
    </row>
    <row r="716" spans="1:10" ht="14.1" customHeight="1" x14ac:dyDescent="0.25">
      <c r="A716" s="33" t="s">
        <v>171</v>
      </c>
      <c r="B716" s="34" t="str">
        <f ca="1">IFERROR(INDEX(UNSPSCDes,MATCH(INDIRECT(ADDRESS(ROW(),COLUMN()-1,4)),UNSPSCCode,0)),IF(INDIRECT(ADDRESS(ROW(),COLUMN()-1,4))="31201515","Cintas de papel",""))</f>
        <v>Cintas de papel</v>
      </c>
      <c r="C716" s="35" t="str">
        <f>IFERROR(VLOOKUP("UD",'[1]Informacion '!P:Q,2,FALSE),"")</f>
        <v>Unidad</v>
      </c>
      <c r="D716" s="33">
        <v>3</v>
      </c>
      <c r="E716" s="36">
        <v>60</v>
      </c>
      <c r="F716" s="37">
        <f t="shared" ca="1" si="17"/>
        <v>180</v>
      </c>
    </row>
    <row r="717" spans="1:10" ht="14.1" customHeight="1" x14ac:dyDescent="0.25">
      <c r="A717" s="33" t="s">
        <v>172</v>
      </c>
      <c r="B717" s="34" t="str">
        <f ca="1">IFERROR(INDEX(UNSPSCDes,MATCH(INDIRECT(ADDRESS(ROW(),COLUMN()-1,4)),UNSPSCCode,0)),IF(INDIRECT(ADDRESS(ROW(),COLUMN()-1,4))="31211909","Bandejas de pintura",""))</f>
        <v>Bandejas de pintura</v>
      </c>
      <c r="C717" s="35" t="str">
        <f>IFERROR(VLOOKUP("UD",'[1]Informacion '!P:Q,2,FALSE),"")</f>
        <v>Unidad</v>
      </c>
      <c r="D717" s="33">
        <v>3</v>
      </c>
      <c r="E717" s="36">
        <v>150</v>
      </c>
      <c r="F717" s="37">
        <f t="shared" ca="1" si="17"/>
        <v>450</v>
      </c>
    </row>
    <row r="718" spans="1:10" ht="14.1" customHeight="1" x14ac:dyDescent="0.25">
      <c r="E718" s="38" t="s">
        <v>48</v>
      </c>
      <c r="F718" s="39">
        <f ca="1">SUM(Table53[MONTO TOTAL ESTIMADO])</f>
        <v>17360</v>
      </c>
      <c r="H718" s="25" t="str">
        <f>C703</f>
        <v>Bienes</v>
      </c>
      <c r="I718" s="25" t="str">
        <f>E703</f>
        <v>Sí</v>
      </c>
      <c r="J718" s="25" t="str">
        <f>D703</f>
        <v>Compras por debajo del Umbral</v>
      </c>
    </row>
    <row r="719" spans="1:10" ht="14.1" customHeight="1" x14ac:dyDescent="0.25"/>
    <row r="720" spans="1:10" ht="34.15" customHeight="1" thickBot="1" x14ac:dyDescent="0.3">
      <c r="A720" s="24" t="s">
        <v>19</v>
      </c>
      <c r="B720" s="24" t="s">
        <v>20</v>
      </c>
      <c r="C720" s="24" t="s">
        <v>21</v>
      </c>
      <c r="D720" s="24" t="s">
        <v>22</v>
      </c>
      <c r="E720" s="24" t="s">
        <v>23</v>
      </c>
      <c r="F720" s="24" t="s">
        <v>24</v>
      </c>
    </row>
    <row r="721" spans="1:10" ht="14.1" customHeight="1" thickBot="1" x14ac:dyDescent="0.3">
      <c r="A721" s="26" t="s">
        <v>173</v>
      </c>
      <c r="B721" s="26" t="s">
        <v>174</v>
      </c>
      <c r="C721" s="26" t="s">
        <v>27</v>
      </c>
      <c r="D721" s="26" t="s">
        <v>53</v>
      </c>
      <c r="E721" s="26" t="s">
        <v>54</v>
      </c>
      <c r="F721" s="26"/>
    </row>
    <row r="722" spans="1:10" ht="14.1" customHeight="1" thickBot="1" x14ac:dyDescent="0.3">
      <c r="A722" s="43" t="s">
        <v>30</v>
      </c>
      <c r="B722" s="27" t="s">
        <v>31</v>
      </c>
      <c r="C722" s="28">
        <v>44576</v>
      </c>
      <c r="D722" s="43" t="s">
        <v>32</v>
      </c>
      <c r="E722" s="29" t="s">
        <v>33</v>
      </c>
      <c r="F722" s="30" t="s">
        <v>34</v>
      </c>
    </row>
    <row r="723" spans="1:10" ht="14.1" customHeight="1" thickBot="1" x14ac:dyDescent="0.3">
      <c r="A723" s="44"/>
      <c r="B723" s="27" t="s">
        <v>35</v>
      </c>
      <c r="C723" s="31">
        <f>IF(C722="","",IF(AND(MONTH(C722)&gt;=1,MONTH(C722)&lt;=3),1,IF(AND(MONTH(C722)&gt;=4,MONTH(C722)&lt;=6),2,IF(AND(MONTH(C722)&gt;=7,MONTH(C722)&lt;=9),3,4))))</f>
        <v>1</v>
      </c>
      <c r="D723" s="44"/>
      <c r="E723" s="29" t="s">
        <v>36</v>
      </c>
      <c r="F723" s="30"/>
    </row>
    <row r="724" spans="1:10" ht="14.1" customHeight="1" thickBot="1" x14ac:dyDescent="0.3">
      <c r="A724" s="44"/>
      <c r="B724" s="27" t="s">
        <v>37</v>
      </c>
      <c r="C724" s="28">
        <v>44651</v>
      </c>
      <c r="D724" s="44"/>
      <c r="E724" s="29" t="s">
        <v>38</v>
      </c>
      <c r="F724" s="30"/>
    </row>
    <row r="725" spans="1:10" ht="14.1" customHeight="1" thickBot="1" x14ac:dyDescent="0.3">
      <c r="A725" s="44"/>
      <c r="B725" s="27" t="s">
        <v>35</v>
      </c>
      <c r="C725" s="31">
        <f>IF(C724="","",IF(AND(MONTH(C724)&gt;=1,MONTH(C724)&lt;=3),1,IF(AND(MONTH(C724)&gt;=4,MONTH(C724)&lt;=6),2,IF(AND(MONTH(C724)&gt;=7,MONTH(C724)&lt;=9),3,4))))</f>
        <v>1</v>
      </c>
      <c r="D725" s="44"/>
      <c r="E725" s="29" t="s">
        <v>39</v>
      </c>
      <c r="F725" s="30"/>
    </row>
    <row r="726" spans="1:10" ht="14.1" customHeight="1" x14ac:dyDescent="0.25"/>
    <row r="727" spans="1:10" ht="14.1" customHeight="1" thickBot="1" x14ac:dyDescent="0.3">
      <c r="A727" s="32" t="s">
        <v>40</v>
      </c>
      <c r="B727" s="32" t="s">
        <v>41</v>
      </c>
      <c r="C727" s="32" t="s">
        <v>42</v>
      </c>
      <c r="D727" s="32" t="s">
        <v>43</v>
      </c>
      <c r="E727" s="32" t="s">
        <v>44</v>
      </c>
      <c r="F727" s="32" t="s">
        <v>45</v>
      </c>
    </row>
    <row r="728" spans="1:10" ht="14.1" customHeight="1" x14ac:dyDescent="0.25">
      <c r="A728" s="33" t="s">
        <v>175</v>
      </c>
      <c r="B728" s="34" t="str">
        <f ca="1">IFERROR(INDEX(UNSPSCDes,MATCH(INDIRECT(ADDRESS(ROW(),COLUMN()-1,4)),UNSPSCCode,0)),IF(INDIRECT(ADDRESS(ROW(),COLUMN()-1,4))="40101701","Aires acondicionados",""))</f>
        <v>Aires acondicionados</v>
      </c>
      <c r="C728" s="35" t="str">
        <f>IFERROR(VLOOKUP("UD",'[1]Informacion '!P:Q,2,FALSE),"")</f>
        <v>Unidad</v>
      </c>
      <c r="D728" s="33">
        <v>1</v>
      </c>
      <c r="E728" s="36">
        <v>60000</v>
      </c>
      <c r="F728" s="37">
        <f ca="1">INDIRECT(ADDRESS(ROW(),COLUMN()-2,4))*INDIRECT(ADDRESS(ROW(),COLUMN()-1,4))</f>
        <v>60000</v>
      </c>
    </row>
    <row r="729" spans="1:10" ht="14.1" customHeight="1" x14ac:dyDescent="0.25">
      <c r="A729" s="33" t="s">
        <v>175</v>
      </c>
      <c r="B729" s="34" t="str">
        <f ca="1">IFERROR(INDEX(UNSPSCDes,MATCH(INDIRECT(ADDRESS(ROW(),COLUMN()-1,4)),UNSPSCCode,0)),IF(INDIRECT(ADDRESS(ROW(),COLUMN()-1,4))="40101701","Aires acondicionados",""))</f>
        <v>Aires acondicionados</v>
      </c>
      <c r="C729" s="35" t="str">
        <f>IFERROR(VLOOKUP("UD",'[1]Informacion '!P:Q,2,FALSE),"")</f>
        <v>Unidad</v>
      </c>
      <c r="D729" s="33">
        <v>1</v>
      </c>
      <c r="E729" s="36">
        <v>35000</v>
      </c>
      <c r="F729" s="37">
        <f ca="1">INDIRECT(ADDRESS(ROW(),COLUMN()-2,4))*INDIRECT(ADDRESS(ROW(),COLUMN()-1,4))</f>
        <v>35000</v>
      </c>
    </row>
    <row r="730" spans="1:10" ht="14.1" customHeight="1" x14ac:dyDescent="0.25">
      <c r="E730" s="38" t="s">
        <v>48</v>
      </c>
      <c r="F730" s="39">
        <f ca="1">SUM(Table54[MONTO TOTAL ESTIMADO])</f>
        <v>95000</v>
      </c>
      <c r="H730" s="25" t="str">
        <f>C721</f>
        <v>Bienes</v>
      </c>
      <c r="I730" s="25" t="str">
        <f>E721</f>
        <v>Sí</v>
      </c>
      <c r="J730" s="25" t="str">
        <f>D721</f>
        <v>Compras por debajo del Umbral</v>
      </c>
    </row>
    <row r="731" spans="1:10" ht="14.1" customHeight="1" x14ac:dyDescent="0.25"/>
    <row r="732" spans="1:10" ht="34.15" customHeight="1" thickBot="1" x14ac:dyDescent="0.3">
      <c r="A732" s="24" t="s">
        <v>19</v>
      </c>
      <c r="B732" s="24" t="s">
        <v>20</v>
      </c>
      <c r="C732" s="24" t="s">
        <v>21</v>
      </c>
      <c r="D732" s="24" t="s">
        <v>22</v>
      </c>
      <c r="E732" s="24" t="s">
        <v>23</v>
      </c>
      <c r="F732" s="24" t="s">
        <v>24</v>
      </c>
    </row>
    <row r="733" spans="1:10" ht="14.1" customHeight="1" thickBot="1" x14ac:dyDescent="0.3">
      <c r="A733" s="26" t="s">
        <v>176</v>
      </c>
      <c r="B733" s="26" t="s">
        <v>176</v>
      </c>
      <c r="C733" s="26" t="s">
        <v>27</v>
      </c>
      <c r="D733" s="26" t="s">
        <v>28</v>
      </c>
      <c r="E733" s="26" t="s">
        <v>54</v>
      </c>
      <c r="F733" s="26"/>
    </row>
    <row r="734" spans="1:10" ht="14.1" customHeight="1" thickBot="1" x14ac:dyDescent="0.3">
      <c r="A734" s="43" t="s">
        <v>30</v>
      </c>
      <c r="B734" s="27" t="s">
        <v>31</v>
      </c>
      <c r="C734" s="28">
        <v>44576</v>
      </c>
      <c r="D734" s="43" t="s">
        <v>32</v>
      </c>
      <c r="E734" s="29" t="s">
        <v>33</v>
      </c>
      <c r="F734" s="30" t="s">
        <v>34</v>
      </c>
    </row>
    <row r="735" spans="1:10" ht="14.1" customHeight="1" thickBot="1" x14ac:dyDescent="0.3">
      <c r="A735" s="44"/>
      <c r="B735" s="27" t="s">
        <v>35</v>
      </c>
      <c r="C735" s="31">
        <f>IF(C734="","",IF(AND(MONTH(C734)&gt;=1,MONTH(C734)&lt;=3),1,IF(AND(MONTH(C734)&gt;=4,MONTH(C734)&lt;=6),2,IF(AND(MONTH(C734)&gt;=7,MONTH(C734)&lt;=9),3,4))))</f>
        <v>1</v>
      </c>
      <c r="D735" s="44"/>
      <c r="E735" s="29" t="s">
        <v>36</v>
      </c>
      <c r="F735" s="30"/>
    </row>
    <row r="736" spans="1:10" ht="14.1" customHeight="1" thickBot="1" x14ac:dyDescent="0.3">
      <c r="A736" s="44"/>
      <c r="B736" s="27" t="s">
        <v>37</v>
      </c>
      <c r="C736" s="28">
        <v>44651</v>
      </c>
      <c r="D736" s="44"/>
      <c r="E736" s="29" t="s">
        <v>38</v>
      </c>
      <c r="F736" s="30"/>
    </row>
    <row r="737" spans="1:6" ht="14.1" customHeight="1" thickBot="1" x14ac:dyDescent="0.3">
      <c r="A737" s="44"/>
      <c r="B737" s="27" t="s">
        <v>35</v>
      </c>
      <c r="C737" s="31">
        <f>IF(C736="","",IF(AND(MONTH(C736)&gt;=1,MONTH(C736)&lt;=3),1,IF(AND(MONTH(C736)&gt;=4,MONTH(C736)&lt;=6),2,IF(AND(MONTH(C736)&gt;=7,MONTH(C736)&lt;=9),3,4))))</f>
        <v>1</v>
      </c>
      <c r="D737" s="44"/>
      <c r="E737" s="29" t="s">
        <v>39</v>
      </c>
      <c r="F737" s="30"/>
    </row>
    <row r="738" spans="1:6" ht="14.1" customHeight="1" x14ac:dyDescent="0.25"/>
    <row r="739" spans="1:6" ht="14.1" customHeight="1" thickBot="1" x14ac:dyDescent="0.3">
      <c r="A739" s="32" t="s">
        <v>40</v>
      </c>
      <c r="B739" s="32" t="s">
        <v>41</v>
      </c>
      <c r="C739" s="32" t="s">
        <v>42</v>
      </c>
      <c r="D739" s="32" t="s">
        <v>43</v>
      </c>
      <c r="E739" s="32" t="s">
        <v>44</v>
      </c>
      <c r="F739" s="32" t="s">
        <v>45</v>
      </c>
    </row>
    <row r="740" spans="1:6" ht="14.1" customHeight="1" x14ac:dyDescent="0.25">
      <c r="A740" s="33" t="s">
        <v>177</v>
      </c>
      <c r="B740" s="34" t="str">
        <f ca="1">IFERROR(INDEX(UNSPSCDes,MATCH(INDIRECT(ADDRESS(ROW(),COLUMN()-1,4)),UNSPSCCode,0)),IF(INDIRECT(ADDRESS(ROW(),COLUMN()-1,4))="44121802","Fluido de corrección",""))</f>
        <v>Fluido de corrección</v>
      </c>
      <c r="C740" s="35" t="str">
        <f>IFERROR(VLOOKUP("UD",'[1]Informacion '!P:Q,2,FALSE),"")</f>
        <v>Unidad</v>
      </c>
      <c r="D740" s="33">
        <v>15</v>
      </c>
      <c r="E740" s="36">
        <v>45</v>
      </c>
      <c r="F740" s="37">
        <f t="shared" ref="F740:F803" ca="1" si="18">INDIRECT(ADDRESS(ROW(),COLUMN()-2,4))*INDIRECT(ADDRESS(ROW(),COLUMN()-1,4))</f>
        <v>675</v>
      </c>
    </row>
    <row r="741" spans="1:6" ht="14.1" customHeight="1" x14ac:dyDescent="0.25">
      <c r="A741" s="33" t="s">
        <v>178</v>
      </c>
      <c r="B741" s="34" t="str">
        <f ca="1">IFERROR(INDEX(UNSPSCDes,MATCH(INDIRECT(ADDRESS(ROW(),COLUMN()-1,4)),UNSPSCCode,0)),IF(INDIRECT(ADDRESS(ROW(),COLUMN()-1,4))="44121706","Lápices de madera",""))</f>
        <v>Lápices de madera</v>
      </c>
      <c r="C741" s="35" t="str">
        <f>IFERROR(VLOOKUP("CAJ",'[1]Informacion '!P:Q,2,FALSE),"")</f>
        <v>Caja</v>
      </c>
      <c r="D741" s="33">
        <v>50</v>
      </c>
      <c r="E741" s="36">
        <v>50</v>
      </c>
      <c r="F741" s="37">
        <f t="shared" ca="1" si="18"/>
        <v>2500</v>
      </c>
    </row>
    <row r="742" spans="1:6" ht="14.1" customHeight="1" x14ac:dyDescent="0.25">
      <c r="A742" s="33" t="s">
        <v>178</v>
      </c>
      <c r="B742" s="34" t="str">
        <f ca="1">IFERROR(INDEX(UNSPSCDes,MATCH(INDIRECT(ADDRESS(ROW(),COLUMN()-1,4)),UNSPSCCode,0)),IF(INDIRECT(ADDRESS(ROW(),COLUMN()-1,4))="44121706","Lápices de madera",""))</f>
        <v>Lápices de madera</v>
      </c>
      <c r="C742" s="35" t="str">
        <f>IFERROR(VLOOKUP("CAJ",'[1]Informacion '!P:Q,2,FALSE),"")</f>
        <v>Caja</v>
      </c>
      <c r="D742" s="33">
        <v>10</v>
      </c>
      <c r="E742" s="36">
        <v>10</v>
      </c>
      <c r="F742" s="37">
        <f t="shared" ca="1" si="18"/>
        <v>100</v>
      </c>
    </row>
    <row r="743" spans="1:6" ht="14.1" customHeight="1" x14ac:dyDescent="0.25">
      <c r="A743" s="33" t="s">
        <v>179</v>
      </c>
      <c r="B743" s="34" t="str">
        <f ca="1">IFERROR(INDEX(UNSPSCDes,MATCH(INDIRECT(ADDRESS(ROW(),COLUMN()-1,4)),UNSPSCCode,0)),IF(INDIRECT(ADDRESS(ROW(),COLUMN()-1,4))="44121716","Resaltadores",""))</f>
        <v>Resaltadores</v>
      </c>
      <c r="C743" s="35" t="str">
        <f>IFERROR(VLOOKUP("UD",'[1]Informacion '!P:Q,2,FALSE),"")</f>
        <v>Unidad</v>
      </c>
      <c r="D743" s="33">
        <v>125</v>
      </c>
      <c r="E743" s="36">
        <v>20</v>
      </c>
      <c r="F743" s="37">
        <f t="shared" ca="1" si="18"/>
        <v>2500</v>
      </c>
    </row>
    <row r="744" spans="1:6" ht="14.1" customHeight="1" x14ac:dyDescent="0.25">
      <c r="A744" s="33" t="s">
        <v>180</v>
      </c>
      <c r="B744" s="34" t="str">
        <f ca="1">IFERROR(INDEX(UNSPSCDes,MATCH(INDIRECT(ADDRESS(ROW(),COLUMN()-1,4)),UNSPSCCode,0)),IF(INDIRECT(ADDRESS(ROW(),COLUMN()-1,4))="44122005","Cubiertas para revistas o libros",""))</f>
        <v>Cubiertas para revistas o libros</v>
      </c>
      <c r="C744" s="35" t="str">
        <f>IFERROR(VLOOKUP("PAQ",'[1]Informacion '!P:Q,2,FALSE),"")</f>
        <v>Paquete</v>
      </c>
      <c r="D744" s="33">
        <v>30</v>
      </c>
      <c r="E744" s="36">
        <v>260</v>
      </c>
      <c r="F744" s="37">
        <f t="shared" ca="1" si="18"/>
        <v>7800</v>
      </c>
    </row>
    <row r="745" spans="1:6" ht="14.1" customHeight="1" x14ac:dyDescent="0.25">
      <c r="A745" s="33" t="s">
        <v>181</v>
      </c>
      <c r="B745" s="34" t="str">
        <f ca="1">IFERROR(INDEX(UNSPSCDes,MATCH(INDIRECT(ADDRESS(ROW(),COLUMN()-1,4)),UNSPSCCode,0)),IF(INDIRECT(ADDRESS(ROW(),COLUMN()-1,4))="44122010","Separadores",""))</f>
        <v>Separadores</v>
      </c>
      <c r="C745" s="35" t="str">
        <f>IFERROR(VLOOKUP("CAJ",'[1]Informacion '!P:Q,2,FALSE),"")</f>
        <v>Caja</v>
      </c>
      <c r="D745" s="33">
        <v>2</v>
      </c>
      <c r="E745" s="36">
        <v>1700</v>
      </c>
      <c r="F745" s="37">
        <f t="shared" ca="1" si="18"/>
        <v>3400</v>
      </c>
    </row>
    <row r="746" spans="1:6" ht="14.1" customHeight="1" x14ac:dyDescent="0.25">
      <c r="A746" s="33" t="s">
        <v>181</v>
      </c>
      <c r="B746" s="34" t="str">
        <f ca="1">IFERROR(INDEX(UNSPSCDes,MATCH(INDIRECT(ADDRESS(ROW(),COLUMN()-1,4)),UNSPSCCode,0)),IF(INDIRECT(ADDRESS(ROW(),COLUMN()-1,4))="44122010","Separadores",""))</f>
        <v>Separadores</v>
      </c>
      <c r="C746" s="35" t="str">
        <f>IFERROR(VLOOKUP("CAJ",'[1]Informacion '!P:Q,2,FALSE),"")</f>
        <v>Caja</v>
      </c>
      <c r="D746" s="33">
        <v>2</v>
      </c>
      <c r="E746" s="36">
        <v>1000</v>
      </c>
      <c r="F746" s="37">
        <f t="shared" ca="1" si="18"/>
        <v>2000</v>
      </c>
    </row>
    <row r="747" spans="1:6" ht="14.1" customHeight="1" x14ac:dyDescent="0.25">
      <c r="A747" s="33" t="s">
        <v>182</v>
      </c>
      <c r="B747" s="34" t="str">
        <f ca="1">IFERROR(INDEX(UNSPSCDes,MATCH(INDIRECT(ADDRESS(ROW(),COLUMN()-1,4)),UNSPSCCode,0)),IF(INDIRECT(ADDRESS(ROW(),COLUMN()-1,4))="44122104","Clips para papel",""))</f>
        <v>Clips para papel</v>
      </c>
      <c r="C747" s="35" t="str">
        <f>IFERROR(VLOOKUP("CAJ",'[1]Informacion '!P:Q,2,FALSE),"")</f>
        <v>Caja</v>
      </c>
      <c r="D747" s="33">
        <v>50</v>
      </c>
      <c r="E747" s="36">
        <v>300</v>
      </c>
      <c r="F747" s="37">
        <f t="shared" ca="1" si="18"/>
        <v>15000</v>
      </c>
    </row>
    <row r="748" spans="1:6" ht="14.1" customHeight="1" x14ac:dyDescent="0.25">
      <c r="A748" s="33" t="s">
        <v>183</v>
      </c>
      <c r="B748" s="34" t="str">
        <f ca="1">IFERROR(INDEX(UNSPSCDes,MATCH(INDIRECT(ADDRESS(ROW(),COLUMN()-1,4)),UNSPSCCode,0)),IF(INDIRECT(ADDRESS(ROW(),COLUMN()-1,4))="44121615","Grapadoras",""))</f>
        <v>Grapadoras</v>
      </c>
      <c r="C748" s="35" t="str">
        <f>IFERROR(VLOOKUP("UD",'[1]Informacion '!P:Q,2,FALSE),"")</f>
        <v>Unidad</v>
      </c>
      <c r="D748" s="33">
        <v>25</v>
      </c>
      <c r="E748" s="36">
        <v>220</v>
      </c>
      <c r="F748" s="37">
        <f t="shared" ca="1" si="18"/>
        <v>5500</v>
      </c>
    </row>
    <row r="749" spans="1:6" ht="14.1" customHeight="1" x14ac:dyDescent="0.25">
      <c r="A749" s="33" t="s">
        <v>184</v>
      </c>
      <c r="B749" s="34" t="str">
        <f ca="1">IFERROR(INDEX(UNSPSCDes,MATCH(INDIRECT(ADDRESS(ROW(),COLUMN()-1,4)),UNSPSCCode,0)),IF(INDIRECT(ADDRESS(ROW(),COLUMN()-1,4))="44121613","Removedores de grapas (saca ganchos)",""))</f>
        <v>Removedores de grapas (saca ganchos)</v>
      </c>
      <c r="C749" s="35" t="str">
        <f>IFERROR(VLOOKUP("UD",'[1]Informacion '!P:Q,2,FALSE),"")</f>
        <v>Unidad</v>
      </c>
      <c r="D749" s="33">
        <v>25</v>
      </c>
      <c r="E749" s="36">
        <v>50</v>
      </c>
      <c r="F749" s="37">
        <f t="shared" ca="1" si="18"/>
        <v>1250</v>
      </c>
    </row>
    <row r="750" spans="1:6" ht="14.1" customHeight="1" x14ac:dyDescent="0.25">
      <c r="A750" s="33" t="s">
        <v>185</v>
      </c>
      <c r="B750" s="34" t="str">
        <f ca="1">IFERROR(INDEX(UNSPSCDes,MATCH(INDIRECT(ADDRESS(ROW(),COLUMN()-1,4)),UNSPSCCode,0)),IF(INDIRECT(ADDRESS(ROW(),COLUMN()-1,4))="44122105","Clips para carpetas o bulldog",""))</f>
        <v>Clips para carpetas o bulldog</v>
      </c>
      <c r="C750" s="35" t="str">
        <f>IFERROR(VLOOKUP("CAJ",'[1]Informacion '!P:Q,2,FALSE),"")</f>
        <v>Caja</v>
      </c>
      <c r="D750" s="33">
        <v>20</v>
      </c>
      <c r="E750" s="36">
        <v>58</v>
      </c>
      <c r="F750" s="37">
        <f t="shared" ca="1" si="18"/>
        <v>1160</v>
      </c>
    </row>
    <row r="751" spans="1:6" ht="14.1" customHeight="1" x14ac:dyDescent="0.25">
      <c r="A751" s="33" t="s">
        <v>185</v>
      </c>
      <c r="B751" s="34" t="str">
        <f ca="1">IFERROR(INDEX(UNSPSCDes,MATCH(INDIRECT(ADDRESS(ROW(),COLUMN()-1,4)),UNSPSCCode,0)),IF(INDIRECT(ADDRESS(ROW(),COLUMN()-1,4))="44122105","Clips para carpetas o bulldog",""))</f>
        <v>Clips para carpetas o bulldog</v>
      </c>
      <c r="C751" s="35" t="str">
        <f>IFERROR(VLOOKUP("CAJ",'[1]Informacion '!P:Q,2,FALSE),"")</f>
        <v>Caja</v>
      </c>
      <c r="D751" s="33">
        <v>20</v>
      </c>
      <c r="E751" s="36">
        <v>70</v>
      </c>
      <c r="F751" s="37">
        <f t="shared" ca="1" si="18"/>
        <v>1400</v>
      </c>
    </row>
    <row r="752" spans="1:6" ht="14.1" customHeight="1" x14ac:dyDescent="0.25">
      <c r="A752" s="33" t="s">
        <v>185</v>
      </c>
      <c r="B752" s="34" t="str">
        <f ca="1">IFERROR(INDEX(UNSPSCDes,MATCH(INDIRECT(ADDRESS(ROW(),COLUMN()-1,4)),UNSPSCCode,0)),IF(INDIRECT(ADDRESS(ROW(),COLUMN()-1,4))="44122105","Clips para carpetas o bulldog",""))</f>
        <v>Clips para carpetas o bulldog</v>
      </c>
      <c r="C752" s="35" t="str">
        <f>IFERROR(VLOOKUP("CAJ",'[1]Informacion '!P:Q,2,FALSE),"")</f>
        <v>Caja</v>
      </c>
      <c r="D752" s="33">
        <v>20</v>
      </c>
      <c r="E752" s="36">
        <v>85</v>
      </c>
      <c r="F752" s="37">
        <f t="shared" ca="1" si="18"/>
        <v>1700</v>
      </c>
    </row>
    <row r="753" spans="1:6" ht="14.1" customHeight="1" x14ac:dyDescent="0.25">
      <c r="A753" s="33" t="s">
        <v>185</v>
      </c>
      <c r="B753" s="34" t="str">
        <f ca="1">IFERROR(INDEX(UNSPSCDes,MATCH(INDIRECT(ADDRESS(ROW(),COLUMN()-1,4)),UNSPSCCode,0)),IF(INDIRECT(ADDRESS(ROW(),COLUMN()-1,4))="44122105","Clips para carpetas o bulldog",""))</f>
        <v>Clips para carpetas o bulldog</v>
      </c>
      <c r="C753" s="35" t="str">
        <f>IFERROR(VLOOKUP("CAJ",'[1]Informacion '!P:Q,2,FALSE),"")</f>
        <v>Caja</v>
      </c>
      <c r="D753" s="33">
        <v>20</v>
      </c>
      <c r="E753" s="36">
        <v>147</v>
      </c>
      <c r="F753" s="37">
        <f t="shared" ca="1" si="18"/>
        <v>2940</v>
      </c>
    </row>
    <row r="754" spans="1:6" ht="14.1" customHeight="1" x14ac:dyDescent="0.25">
      <c r="A754" s="33" t="s">
        <v>186</v>
      </c>
      <c r="B754" s="34" t="str">
        <f ca="1">IFERROR(INDEX(UNSPSCDes,MATCH(INDIRECT(ADDRESS(ROW(),COLUMN()-1,4)),UNSPSCCode,0)),IF(INDIRECT(ADDRESS(ROW(),COLUMN()-1,4))="44121618","Tijeras",""))</f>
        <v>Tijeras</v>
      </c>
      <c r="C754" s="35" t="str">
        <f>IFERROR(VLOOKUP("UD",'[1]Informacion '!P:Q,2,FALSE),"")</f>
        <v>Unidad</v>
      </c>
      <c r="D754" s="33">
        <v>25</v>
      </c>
      <c r="E754" s="36">
        <v>28</v>
      </c>
      <c r="F754" s="37">
        <f t="shared" ca="1" si="18"/>
        <v>700</v>
      </c>
    </row>
    <row r="755" spans="1:6" ht="14.1" customHeight="1" x14ac:dyDescent="0.25">
      <c r="A755" s="33" t="s">
        <v>187</v>
      </c>
      <c r="B755" s="34" t="str">
        <f ca="1">IFERROR(INDEX(UNSPSCDes,MATCH(INDIRECT(ADDRESS(ROW(),COLUMN()-1,4)),UNSPSCCode,0)),IF(INDIRECT(ADDRESS(ROW(),COLUMN()-1,4))="12181501","Ceras sintéticas",""))</f>
        <v>Ceras sintéticas</v>
      </c>
      <c r="C755" s="35" t="str">
        <f>IFERROR(VLOOKUP("UD",'[1]Informacion '!P:Q,2,FALSE),"")</f>
        <v>Unidad</v>
      </c>
      <c r="D755" s="33">
        <v>20</v>
      </c>
      <c r="E755" s="36">
        <v>70</v>
      </c>
      <c r="F755" s="37">
        <f t="shared" ca="1" si="18"/>
        <v>1400</v>
      </c>
    </row>
    <row r="756" spans="1:6" ht="14.1" customHeight="1" x14ac:dyDescent="0.25">
      <c r="A756" s="33" t="s">
        <v>188</v>
      </c>
      <c r="B756" s="34" t="str">
        <f ca="1">IFERROR(INDEX(UNSPSCDes,MATCH(INDIRECT(ADDRESS(ROW(),COLUMN()-1,4)),UNSPSCCode,0)),IF(INDIRECT(ADDRESS(ROW(),COLUMN()-1,4))="14111506","Papel para impresión de computadores",""))</f>
        <v>Papel para impresión de computadores</v>
      </c>
      <c r="C756" s="35" t="str">
        <f>IFERROR(VLOOKUP("RESMA",'[1]Informacion '!P:Q,2,FALSE),"")</f>
        <v>Resma</v>
      </c>
      <c r="D756" s="33">
        <v>300</v>
      </c>
      <c r="E756" s="36">
        <v>250</v>
      </c>
      <c r="F756" s="37">
        <f t="shared" ca="1" si="18"/>
        <v>75000</v>
      </c>
    </row>
    <row r="757" spans="1:6" ht="14.1" customHeight="1" x14ac:dyDescent="0.25">
      <c r="A757" s="33" t="s">
        <v>188</v>
      </c>
      <c r="B757" s="34" t="str">
        <f ca="1">IFERROR(INDEX(UNSPSCDes,MATCH(INDIRECT(ADDRESS(ROW(),COLUMN()-1,4)),UNSPSCCode,0)),IF(INDIRECT(ADDRESS(ROW(),COLUMN()-1,4))="14111506","Papel para impresión de computadores",""))</f>
        <v>Papel para impresión de computadores</v>
      </c>
      <c r="C757" s="35" t="str">
        <f>IFERROR(VLOOKUP("RESMA",'[1]Informacion '!P:Q,2,FALSE),"")</f>
        <v>Resma</v>
      </c>
      <c r="D757" s="33">
        <v>10</v>
      </c>
      <c r="E757" s="36">
        <v>290</v>
      </c>
      <c r="F757" s="37">
        <f t="shared" ca="1" si="18"/>
        <v>2900</v>
      </c>
    </row>
    <row r="758" spans="1:6" ht="14.1" customHeight="1" x14ac:dyDescent="0.25">
      <c r="A758" s="33" t="s">
        <v>188</v>
      </c>
      <c r="B758" s="34" t="str">
        <f ca="1">IFERROR(INDEX(UNSPSCDes,MATCH(INDIRECT(ADDRESS(ROW(),COLUMN()-1,4)),UNSPSCCode,0)),IF(INDIRECT(ADDRESS(ROW(),COLUMN()-1,4))="14111506","Papel para impresión de computadores",""))</f>
        <v>Papel para impresión de computadores</v>
      </c>
      <c r="C758" s="35" t="str">
        <f>IFERROR(VLOOKUP("RESMA",'[1]Informacion '!P:Q,2,FALSE),"")</f>
        <v>Resma</v>
      </c>
      <c r="D758" s="33">
        <v>10</v>
      </c>
      <c r="E758" s="36">
        <v>275</v>
      </c>
      <c r="F758" s="37">
        <f t="shared" ca="1" si="18"/>
        <v>2750</v>
      </c>
    </row>
    <row r="759" spans="1:6" ht="14.1" customHeight="1" x14ac:dyDescent="0.25">
      <c r="A759" s="33" t="s">
        <v>189</v>
      </c>
      <c r="B759" s="34" t="str">
        <f ca="1">IFERROR(INDEX(UNSPSCDes,MATCH(INDIRECT(ADDRESS(ROW(),COLUMN()-1,4)),UNSPSCCode,0)),IF(INDIRECT(ADDRESS(ROW(),COLUMN()-1,4))="44122107","Grapas",""))</f>
        <v>Grapas</v>
      </c>
      <c r="C759" s="35" t="str">
        <f>IFERROR(VLOOKUP("CAJ",'[1]Informacion '!P:Q,2,FALSE),"")</f>
        <v>Caja</v>
      </c>
      <c r="D759" s="33">
        <v>25</v>
      </c>
      <c r="E759" s="36">
        <v>36</v>
      </c>
      <c r="F759" s="37">
        <f t="shared" ca="1" si="18"/>
        <v>900</v>
      </c>
    </row>
    <row r="760" spans="1:6" ht="14.1" customHeight="1" x14ac:dyDescent="0.25">
      <c r="A760" s="33" t="s">
        <v>180</v>
      </c>
      <c r="B760" s="34" t="str">
        <f ca="1">IFERROR(INDEX(UNSPSCDes,MATCH(INDIRECT(ADDRESS(ROW(),COLUMN()-1,4)),UNSPSCCode,0)),IF(INDIRECT(ADDRESS(ROW(),COLUMN()-1,4))="44122005","Cubiertas para revistas o libros",""))</f>
        <v>Cubiertas para revistas o libros</v>
      </c>
      <c r="C760" s="35" t="str">
        <f>IFERROR(VLOOKUP("PAQ",'[1]Informacion '!P:Q,2,FALSE),"")</f>
        <v>Paquete</v>
      </c>
      <c r="D760" s="33">
        <v>20</v>
      </c>
      <c r="E760" s="36">
        <v>325</v>
      </c>
      <c r="F760" s="37">
        <f t="shared" ca="1" si="18"/>
        <v>6500</v>
      </c>
    </row>
    <row r="761" spans="1:6" ht="14.1" customHeight="1" x14ac:dyDescent="0.25">
      <c r="A761" s="33" t="s">
        <v>182</v>
      </c>
      <c r="B761" s="34" t="str">
        <f ca="1">IFERROR(INDEX(UNSPSCDes,MATCH(INDIRECT(ADDRESS(ROW(),COLUMN()-1,4)),UNSPSCCode,0)),IF(INDIRECT(ADDRESS(ROW(),COLUMN()-1,4))="44122104","Clips para papel",""))</f>
        <v>Clips para papel</v>
      </c>
      <c r="C761" s="35" t="str">
        <f>IFERROR(VLOOKUP("CAJ",'[1]Informacion '!P:Q,2,FALSE),"")</f>
        <v>Caja</v>
      </c>
      <c r="D761" s="33">
        <v>100</v>
      </c>
      <c r="E761" s="36">
        <v>120</v>
      </c>
      <c r="F761" s="37">
        <f t="shared" ca="1" si="18"/>
        <v>12000</v>
      </c>
    </row>
    <row r="762" spans="1:6" ht="14.1" customHeight="1" x14ac:dyDescent="0.25">
      <c r="A762" s="33" t="s">
        <v>190</v>
      </c>
      <c r="B762" s="34" t="str">
        <f ca="1">IFERROR(INDEX(UNSPSCDes,MATCH(INDIRECT(ADDRESS(ROW(),COLUMN()-1,4)),UNSPSCCode,0)),IF(INDIRECT(ADDRESS(ROW(),COLUMN()-1,4))="44121701","Bolígrafos",""))</f>
        <v>Bolígrafos</v>
      </c>
      <c r="C762" s="35" t="str">
        <f>IFERROR(VLOOKUP("CAJ",'[1]Informacion '!P:Q,2,FALSE),"")</f>
        <v>Caja</v>
      </c>
      <c r="D762" s="33">
        <v>20</v>
      </c>
      <c r="E762" s="36">
        <v>155</v>
      </c>
      <c r="F762" s="37">
        <f t="shared" ca="1" si="18"/>
        <v>3100</v>
      </c>
    </row>
    <row r="763" spans="1:6" ht="14.1" customHeight="1" x14ac:dyDescent="0.25">
      <c r="A763" s="33" t="s">
        <v>191</v>
      </c>
      <c r="B763" s="34" t="str">
        <f ca="1">IFERROR(INDEX(UNSPSCDes,MATCH(INDIRECT(ADDRESS(ROW(),COLUMN()-1,4)),UNSPSCCode,0)),IF(INDIRECT(ADDRESS(ROW(),COLUMN()-1,4))="41111604","Reglas",""))</f>
        <v>Reglas</v>
      </c>
      <c r="C763" s="35" t="str">
        <f>IFERROR(VLOOKUP("UD",'[1]Informacion '!P:Q,2,FALSE),"")</f>
        <v>Unidad</v>
      </c>
      <c r="D763" s="33">
        <v>50</v>
      </c>
      <c r="E763" s="36">
        <v>7</v>
      </c>
      <c r="F763" s="37">
        <f t="shared" ca="1" si="18"/>
        <v>350</v>
      </c>
    </row>
    <row r="764" spans="1:6" ht="14.1" customHeight="1" x14ac:dyDescent="0.25">
      <c r="A764" s="33" t="s">
        <v>190</v>
      </c>
      <c r="B764" s="34" t="str">
        <f ca="1">IFERROR(INDEX(UNSPSCDes,MATCH(INDIRECT(ADDRESS(ROW(),COLUMN()-1,4)),UNSPSCCode,0)),IF(INDIRECT(ADDRESS(ROW(),COLUMN()-1,4))="44121701","Bolígrafos",""))</f>
        <v>Bolígrafos</v>
      </c>
      <c r="C764" s="35" t="str">
        <f>IFERROR(VLOOKUP("CAJ",'[1]Informacion '!P:Q,2,FALSE),"")</f>
        <v>Caja</v>
      </c>
      <c r="D764" s="33">
        <v>4</v>
      </c>
      <c r="E764" s="36">
        <v>225</v>
      </c>
      <c r="F764" s="37">
        <f t="shared" ca="1" si="18"/>
        <v>900</v>
      </c>
    </row>
    <row r="765" spans="1:6" ht="14.1" customHeight="1" x14ac:dyDescent="0.25">
      <c r="A765" s="33" t="s">
        <v>147</v>
      </c>
      <c r="B765" s="34" t="str">
        <f ca="1">IFERROR(INDEX(UNSPSCDes,MATCH(INDIRECT(ADDRESS(ROW(),COLUMN()-1,4)),UNSPSCCode,0)),IF(INDIRECT(ADDRESS(ROW(),COLUMN()-1,4))="31201610","Pegamentos",""))</f>
        <v>Pegamentos</v>
      </c>
      <c r="C765" s="35" t="str">
        <f>IFERROR(VLOOKUP("UD",'[1]Informacion '!P:Q,2,FALSE),"")</f>
        <v>Unidad</v>
      </c>
      <c r="D765" s="33">
        <v>24</v>
      </c>
      <c r="E765" s="36">
        <v>92.4</v>
      </c>
      <c r="F765" s="37">
        <f t="shared" ca="1" si="18"/>
        <v>2217.6000000000004</v>
      </c>
    </row>
    <row r="766" spans="1:6" ht="14.1" customHeight="1" x14ac:dyDescent="0.25">
      <c r="A766" s="33" t="s">
        <v>147</v>
      </c>
      <c r="B766" s="34" t="str">
        <f ca="1">IFERROR(INDEX(UNSPSCDes,MATCH(INDIRECT(ADDRESS(ROW(),COLUMN()-1,4)),UNSPSCCode,0)),IF(INDIRECT(ADDRESS(ROW(),COLUMN()-1,4))="31201610","Pegamentos",""))</f>
        <v>Pegamentos</v>
      </c>
      <c r="C766" s="35" t="str">
        <f>IFERROR(VLOOKUP("CAJ",'[1]Informacion '!P:Q,2,FALSE),"")</f>
        <v>Caja</v>
      </c>
      <c r="D766" s="33">
        <v>10</v>
      </c>
      <c r="E766" s="36">
        <v>640</v>
      </c>
      <c r="F766" s="37">
        <f t="shared" ca="1" si="18"/>
        <v>6400</v>
      </c>
    </row>
    <row r="767" spans="1:6" ht="14.1" customHeight="1" x14ac:dyDescent="0.25">
      <c r="A767" s="33" t="s">
        <v>192</v>
      </c>
      <c r="B767" s="34" t="str">
        <f ca="1">IFERROR(INDEX(UNSPSCDes,MATCH(INDIRECT(ADDRESS(ROW(),COLUMN()-1,4)),UNSPSCCode,0)),IF(INDIRECT(ADDRESS(ROW(),COLUMN()-1,4))="14111537","Etiquetas de papel",""))</f>
        <v>Etiquetas de papel</v>
      </c>
      <c r="C767" s="35" t="str">
        <f>IFERROR(VLOOKUP("CAJ",'[1]Informacion '!P:Q,2,FALSE),"")</f>
        <v>Caja</v>
      </c>
      <c r="D767" s="33">
        <v>2</v>
      </c>
      <c r="E767" s="36">
        <v>555</v>
      </c>
      <c r="F767" s="37">
        <f t="shared" ca="1" si="18"/>
        <v>1110</v>
      </c>
    </row>
    <row r="768" spans="1:6" ht="14.1" customHeight="1" x14ac:dyDescent="0.25">
      <c r="A768" s="33" t="s">
        <v>192</v>
      </c>
      <c r="B768" s="34" t="str">
        <f ca="1">IFERROR(INDEX(UNSPSCDes,MATCH(INDIRECT(ADDRESS(ROW(),COLUMN()-1,4)),UNSPSCCode,0)),IF(INDIRECT(ADDRESS(ROW(),COLUMN()-1,4))="14111537","Etiquetas de papel",""))</f>
        <v>Etiquetas de papel</v>
      </c>
      <c r="C768" s="35" t="str">
        <f>IFERROR(VLOOKUP("CAJ",'[1]Informacion '!P:Q,2,FALSE),"")</f>
        <v>Caja</v>
      </c>
      <c r="D768" s="33">
        <v>2</v>
      </c>
      <c r="E768" s="36">
        <v>955</v>
      </c>
      <c r="F768" s="37">
        <f t="shared" ca="1" si="18"/>
        <v>1910</v>
      </c>
    </row>
    <row r="769" spans="1:6" ht="14.1" customHeight="1" x14ac:dyDescent="0.25">
      <c r="A769" s="33" t="s">
        <v>193</v>
      </c>
      <c r="B769" s="34" t="str">
        <f ca="1">IFERROR(INDEX(UNSPSCDes,MATCH(INDIRECT(ADDRESS(ROW(),COLUMN()-1,4)),UNSPSCCode,0)),IF(INDIRECT(ADDRESS(ROW(),COLUMN()-1,4))="60103107","Bandas elásticas para tableros geométricos",""))</f>
        <v>Bandas elásticas para tableros geométricos</v>
      </c>
      <c r="C769" s="35" t="str">
        <f>IFERROR(VLOOKUP("CAJ",'[1]Informacion '!P:Q,2,FALSE),"")</f>
        <v>Caja</v>
      </c>
      <c r="D769" s="33">
        <v>50</v>
      </c>
      <c r="E769" s="36">
        <v>30</v>
      </c>
      <c r="F769" s="37">
        <f t="shared" ca="1" si="18"/>
        <v>1500</v>
      </c>
    </row>
    <row r="770" spans="1:6" ht="14.1" customHeight="1" x14ac:dyDescent="0.25">
      <c r="A770" s="33" t="s">
        <v>194</v>
      </c>
      <c r="B770" s="34" t="str">
        <f ca="1">IFERROR(INDEX(UNSPSCDes,MATCH(INDIRECT(ADDRESS(ROW(),COLUMN()-1,4)),UNSPSCCode,0)),IF(INDIRECT(ADDRESS(ROW(),COLUMN()-1,4))="14111531","Papel libros o cuadernos para bitácoras",""))</f>
        <v>Papel libros o cuadernos para bitácoras</v>
      </c>
      <c r="C770" s="35" t="str">
        <f>IFERROR(VLOOKUP("UD",'[1]Informacion '!P:Q,2,FALSE),"")</f>
        <v>Unidad</v>
      </c>
      <c r="D770" s="33">
        <v>15</v>
      </c>
      <c r="E770" s="36">
        <v>256</v>
      </c>
      <c r="F770" s="37">
        <f t="shared" ca="1" si="18"/>
        <v>3840</v>
      </c>
    </row>
    <row r="771" spans="1:6" ht="14.1" customHeight="1" x14ac:dyDescent="0.25">
      <c r="A771" s="33" t="s">
        <v>195</v>
      </c>
      <c r="B771" s="34" t="str">
        <f ca="1">IFERROR(INDEX(UNSPSCDes,MATCH(INDIRECT(ADDRESS(ROW(),COLUMN()-1,4)),UNSPSCCode,0)),IF(INDIRECT(ADDRESS(ROW(),COLUMN()-1,4))="44112001","Libretas de direcciones o repuestos",""))</f>
        <v>Libretas de direcciones o repuestos</v>
      </c>
      <c r="C771" s="35" t="str">
        <f>IFERROR(VLOOKUP("UD",'[1]Informacion '!P:Q,2,FALSE),"")</f>
        <v>Unidad</v>
      </c>
      <c r="D771" s="33">
        <v>48</v>
      </c>
      <c r="E771" s="36">
        <v>18.38</v>
      </c>
      <c r="F771" s="37">
        <f t="shared" ca="1" si="18"/>
        <v>882.24</v>
      </c>
    </row>
    <row r="772" spans="1:6" ht="14.1" customHeight="1" x14ac:dyDescent="0.25">
      <c r="A772" s="33" t="s">
        <v>195</v>
      </c>
      <c r="B772" s="34" t="str">
        <f ca="1">IFERROR(INDEX(UNSPSCDes,MATCH(INDIRECT(ADDRESS(ROW(),COLUMN()-1,4)),UNSPSCCode,0)),IF(INDIRECT(ADDRESS(ROW(),COLUMN()-1,4))="44112001","Libretas de direcciones o repuestos",""))</f>
        <v>Libretas de direcciones o repuestos</v>
      </c>
      <c r="C772" s="35" t="str">
        <f>IFERROR(VLOOKUP("UD",'[1]Informacion '!P:Q,2,FALSE),"")</f>
        <v>Unidad</v>
      </c>
      <c r="D772" s="33">
        <v>48</v>
      </c>
      <c r="E772" s="36">
        <v>18.38</v>
      </c>
      <c r="F772" s="37">
        <f t="shared" ca="1" si="18"/>
        <v>882.24</v>
      </c>
    </row>
    <row r="773" spans="1:6" ht="14.1" customHeight="1" x14ac:dyDescent="0.25">
      <c r="A773" s="33" t="s">
        <v>196</v>
      </c>
      <c r="B773" s="34" t="str">
        <f ca="1">IFERROR(INDEX(UNSPSCDes,MATCH(INDIRECT(ADDRESS(ROW(),COLUMN()-1,4)),UNSPSCCode,0)),IF(INDIRECT(ADDRESS(ROW(),COLUMN()-1,4))="44112005","Libretas de citas o repuestos",""))</f>
        <v>Libretas de citas o repuestos</v>
      </c>
      <c r="C773" s="35" t="str">
        <f>IFERROR(VLOOKUP("UD",'[1]Informacion '!P:Q,2,FALSE),"")</f>
        <v>Unidad</v>
      </c>
      <c r="D773" s="33">
        <v>30</v>
      </c>
      <c r="E773" s="36">
        <v>181</v>
      </c>
      <c r="F773" s="37">
        <f t="shared" ca="1" si="18"/>
        <v>5430</v>
      </c>
    </row>
    <row r="774" spans="1:6" ht="14.1" customHeight="1" x14ac:dyDescent="0.25">
      <c r="A774" s="33" t="s">
        <v>197</v>
      </c>
      <c r="B774" s="34" t="str">
        <f ca="1">IFERROR(INDEX(UNSPSCDes,MATCH(INDIRECT(ADDRESS(ROW(),COLUMN()-1,4)),UNSPSCCode,0)),IF(INDIRECT(ADDRESS(ROW(),COLUMN()-1,4))="44111513","Soportes para diarios o calendarios",""))</f>
        <v>Soportes para diarios o calendarios</v>
      </c>
      <c r="C774" s="35" t="str">
        <f>IFERROR(VLOOKUP("UD",'[1]Informacion '!P:Q,2,FALSE),"")</f>
        <v>Unidad</v>
      </c>
      <c r="D774" s="33">
        <v>10</v>
      </c>
      <c r="E774" s="36">
        <v>130</v>
      </c>
      <c r="F774" s="37">
        <f t="shared" ca="1" si="18"/>
        <v>1300</v>
      </c>
    </row>
    <row r="775" spans="1:6" ht="14.1" customHeight="1" x14ac:dyDescent="0.25">
      <c r="A775" s="33" t="s">
        <v>198</v>
      </c>
      <c r="B775" s="34" t="str">
        <f ca="1">IFERROR(INDEX(UNSPSCDes,MATCH(INDIRECT(ADDRESS(ROW(),COLUMN()-1,4)),UNSPSCCode,0)),IF(INDIRECT(ADDRESS(ROW(),COLUMN()-1,4))="14111530","Papel de notas autoadhesivas",""))</f>
        <v>Papel de notas autoadhesivas</v>
      </c>
      <c r="C775" s="35" t="str">
        <f>IFERROR(VLOOKUP("UD",'[1]Informacion '!P:Q,2,FALSE),"")</f>
        <v>Unidad</v>
      </c>
      <c r="D775" s="33">
        <v>80</v>
      </c>
      <c r="E775" s="36">
        <v>17</v>
      </c>
      <c r="F775" s="37">
        <f t="shared" ca="1" si="18"/>
        <v>1360</v>
      </c>
    </row>
    <row r="776" spans="1:6" ht="14.1" customHeight="1" x14ac:dyDescent="0.25">
      <c r="A776" s="33" t="s">
        <v>199</v>
      </c>
      <c r="B776" s="34" t="str">
        <f ca="1">IFERROR(INDEX(UNSPSCDes,MATCH(INDIRECT(ADDRESS(ROW(),COLUMN()-1,4)),UNSPSCCode,0)),IF(INDIRECT(ADDRESS(ROW(),COLUMN()-1,4))="44122011","Folders",""))</f>
        <v>Folders</v>
      </c>
      <c r="C776" s="35" t="str">
        <f>IFERROR(VLOOKUP("CAJ",'[1]Informacion '!P:Q,2,FALSE),"")</f>
        <v>Caja</v>
      </c>
      <c r="D776" s="33">
        <v>50</v>
      </c>
      <c r="E776" s="36">
        <v>238</v>
      </c>
      <c r="F776" s="37">
        <f t="shared" ca="1" si="18"/>
        <v>11900</v>
      </c>
    </row>
    <row r="777" spans="1:6" ht="14.1" customHeight="1" x14ac:dyDescent="0.25">
      <c r="A777" s="33" t="s">
        <v>199</v>
      </c>
      <c r="B777" s="34" t="str">
        <f ca="1">IFERROR(INDEX(UNSPSCDes,MATCH(INDIRECT(ADDRESS(ROW(),COLUMN()-1,4)),UNSPSCCode,0)),IF(INDIRECT(ADDRESS(ROW(),COLUMN()-1,4))="44122011","Folders",""))</f>
        <v>Folders</v>
      </c>
      <c r="C777" s="35" t="str">
        <f>IFERROR(VLOOKUP("CAJ",'[1]Informacion '!P:Q,2,FALSE),"")</f>
        <v>Caja</v>
      </c>
      <c r="D777" s="33">
        <v>10</v>
      </c>
      <c r="E777" s="36">
        <v>350</v>
      </c>
      <c r="F777" s="37">
        <f t="shared" ca="1" si="18"/>
        <v>3500</v>
      </c>
    </row>
    <row r="778" spans="1:6" ht="14.1" customHeight="1" x14ac:dyDescent="0.25">
      <c r="A778" s="33" t="s">
        <v>200</v>
      </c>
      <c r="B778" s="34" t="str">
        <f ca="1">IFERROR(INDEX(UNSPSCDes,MATCH(INDIRECT(ADDRESS(ROW(),COLUMN()-1,4)),UNSPSCCode,0)),IF(INDIRECT(ADDRESS(ROW(),COLUMN()-1,4))="44122017","Folders de colgar o accesorios",""))</f>
        <v>Folders de colgar o accesorios</v>
      </c>
      <c r="C778" s="35" t="str">
        <f>IFERROR(VLOOKUP("CAJ",'[1]Informacion '!P:Q,2,FALSE),"")</f>
        <v>Caja</v>
      </c>
      <c r="D778" s="33">
        <v>8</v>
      </c>
      <c r="E778" s="36">
        <v>534</v>
      </c>
      <c r="F778" s="37">
        <f t="shared" ca="1" si="18"/>
        <v>4272</v>
      </c>
    </row>
    <row r="779" spans="1:6" ht="14.1" customHeight="1" x14ac:dyDescent="0.25">
      <c r="A779" s="33" t="s">
        <v>201</v>
      </c>
      <c r="B779" s="34" t="str">
        <f ca="1">IFERROR(INDEX(UNSPSCDes,MATCH(INDIRECT(ADDRESS(ROW(),COLUMN()-1,4)),UNSPSCCode,0)),IF(INDIRECT(ADDRESS(ROW(),COLUMN()-1,4))="14111527","Papel autocopiante",""))</f>
        <v>Papel autocopiante</v>
      </c>
      <c r="C779" s="35" t="str">
        <f>IFERROR(VLOOKUP("UD",'[1]Informacion '!P:Q,2,FALSE),"")</f>
        <v>Unidad</v>
      </c>
      <c r="D779" s="33">
        <v>100</v>
      </c>
      <c r="E779" s="36">
        <v>50</v>
      </c>
      <c r="F779" s="37">
        <f t="shared" ca="1" si="18"/>
        <v>5000</v>
      </c>
    </row>
    <row r="780" spans="1:6" ht="14.1" customHeight="1" x14ac:dyDescent="0.25">
      <c r="A780" s="33" t="s">
        <v>202</v>
      </c>
      <c r="B780" s="34" t="str">
        <f ca="1">IFERROR(INDEX(UNSPSCDes,MATCH(INDIRECT(ADDRESS(ROW(),COLUMN()-1,4)),UNSPSCCode,0)),IF(INDIRECT(ADDRESS(ROW(),COLUMN()-1,4))="14111515","Papel para sumadora o máquina registradora",""))</f>
        <v>Papel para sumadora o máquina registradora</v>
      </c>
      <c r="C780" s="35" t="str">
        <f>IFERROR(VLOOKUP("UD",'[1]Informacion '!P:Q,2,FALSE),"")</f>
        <v>Unidad</v>
      </c>
      <c r="D780" s="33">
        <v>125</v>
      </c>
      <c r="E780" s="36">
        <v>18</v>
      </c>
      <c r="F780" s="37">
        <f t="shared" ca="1" si="18"/>
        <v>2250</v>
      </c>
    </row>
    <row r="781" spans="1:6" ht="14.1" customHeight="1" x14ac:dyDescent="0.25">
      <c r="A781" s="33" t="s">
        <v>203</v>
      </c>
      <c r="B781" s="34" t="str">
        <f ca="1">IFERROR(INDEX(UNSPSCDes,MATCH(INDIRECT(ADDRESS(ROW(),COLUMN()-1,4)),UNSPSCCode,0)),IF(INDIRECT(ADDRESS(ROW(),COLUMN()-1,4))="43211802","Almohadillas (pads) para mouse",""))</f>
        <v>Almohadillas (pads) para mouse</v>
      </c>
      <c r="C781" s="35" t="str">
        <f>IFERROR(VLOOKUP("UD",'[1]Informacion '!P:Q,2,FALSE),"")</f>
        <v>Unidad</v>
      </c>
      <c r="D781" s="33">
        <v>20</v>
      </c>
      <c r="E781" s="36">
        <v>83</v>
      </c>
      <c r="F781" s="37">
        <f t="shared" ca="1" si="18"/>
        <v>1660</v>
      </c>
    </row>
    <row r="782" spans="1:6" ht="14.1" customHeight="1" x14ac:dyDescent="0.25">
      <c r="A782" s="33" t="s">
        <v>204</v>
      </c>
      <c r="B782" s="34" t="str">
        <f ca="1">IFERROR(INDEX(UNSPSCDes,MATCH(INDIRECT(ADDRESS(ROW(),COLUMN()-1,4)),UNSPSCCode,0)),IF(INDIRECT(ADDRESS(ROW(),COLUMN()-1,4))="43211708","Mouse o bola de seguimiento para computador",""))</f>
        <v>Mouse o bola de seguimiento para computador</v>
      </c>
      <c r="C782" s="35" t="str">
        <f>IFERROR(VLOOKUP("UD",'[1]Informacion '!P:Q,2,FALSE),"")</f>
        <v>Unidad</v>
      </c>
      <c r="D782" s="33">
        <v>10</v>
      </c>
      <c r="E782" s="36">
        <v>300</v>
      </c>
      <c r="F782" s="37">
        <f t="shared" ca="1" si="18"/>
        <v>3000</v>
      </c>
    </row>
    <row r="783" spans="1:6" ht="14.1" customHeight="1" x14ac:dyDescent="0.25">
      <c r="A783" s="33" t="s">
        <v>205</v>
      </c>
      <c r="B783" s="34" t="str">
        <f ca="1">IFERROR(INDEX(UNSPSCDes,MATCH(INDIRECT(ADDRESS(ROW(),COLUMN()-1,4)),UNSPSCCode,0)),IF(INDIRECT(ADDRESS(ROW(),COLUMN()-1,4))="43211706","Teclados",""))</f>
        <v>Teclados</v>
      </c>
      <c r="C783" s="35" t="str">
        <f>IFERROR(VLOOKUP("UD",'[1]Informacion '!P:Q,2,FALSE),"")</f>
        <v>Unidad</v>
      </c>
      <c r="D783" s="33">
        <v>10</v>
      </c>
      <c r="E783" s="36">
        <v>1600</v>
      </c>
      <c r="F783" s="37">
        <f t="shared" ca="1" si="18"/>
        <v>16000</v>
      </c>
    </row>
    <row r="784" spans="1:6" ht="14.1" customHeight="1" x14ac:dyDescent="0.25">
      <c r="A784" s="33" t="s">
        <v>206</v>
      </c>
      <c r="B784" s="34" t="str">
        <f ca="1">IFERROR(INDEX(UNSPSCDes,MATCH(INDIRECT(ADDRESS(ROW(),COLUMN()-1,4)),UNSPSCCode,0)),IF(INDIRECT(ADDRESS(ROW(),COLUMN()-1,4))="44122003","Carpetas",""))</f>
        <v>Carpetas</v>
      </c>
      <c r="C784" s="35" t="str">
        <f>IFERROR(VLOOKUP("UD",'[1]Informacion '!P:Q,2,FALSE),"")</f>
        <v>Unidad</v>
      </c>
      <c r="D784" s="33">
        <v>50</v>
      </c>
      <c r="E784" s="36">
        <v>350</v>
      </c>
      <c r="F784" s="37">
        <f t="shared" ca="1" si="18"/>
        <v>17500</v>
      </c>
    </row>
    <row r="785" spans="1:6" ht="14.1" customHeight="1" x14ac:dyDescent="0.25">
      <c r="A785" s="33" t="s">
        <v>206</v>
      </c>
      <c r="B785" s="34" t="str">
        <f ca="1">IFERROR(INDEX(UNSPSCDes,MATCH(INDIRECT(ADDRESS(ROW(),COLUMN()-1,4)),UNSPSCCode,0)),IF(INDIRECT(ADDRESS(ROW(),COLUMN()-1,4))="44122003","Carpetas",""))</f>
        <v>Carpetas</v>
      </c>
      <c r="C785" s="35" t="str">
        <f>IFERROR(VLOOKUP("UD",'[1]Informacion '!P:Q,2,FALSE),"")</f>
        <v>Unidad</v>
      </c>
      <c r="D785" s="33">
        <v>50</v>
      </c>
      <c r="E785" s="36">
        <v>505</v>
      </c>
      <c r="F785" s="37">
        <f t="shared" ca="1" si="18"/>
        <v>25250</v>
      </c>
    </row>
    <row r="786" spans="1:6" ht="14.1" customHeight="1" x14ac:dyDescent="0.25">
      <c r="A786" s="33" t="s">
        <v>206</v>
      </c>
      <c r="B786" s="34" t="str">
        <f ca="1">IFERROR(INDEX(UNSPSCDes,MATCH(INDIRECT(ADDRESS(ROW(),COLUMN()-1,4)),UNSPSCCode,0)),IF(INDIRECT(ADDRESS(ROW(),COLUMN()-1,4))="44122003","Carpetas",""))</f>
        <v>Carpetas</v>
      </c>
      <c r="C786" s="35" t="str">
        <f>IFERROR(VLOOKUP("UD",'[1]Informacion '!P:Q,2,FALSE),"")</f>
        <v>Unidad</v>
      </c>
      <c r="D786" s="33">
        <v>60</v>
      </c>
      <c r="E786" s="36">
        <v>630</v>
      </c>
      <c r="F786" s="37">
        <f t="shared" ca="1" si="18"/>
        <v>37800</v>
      </c>
    </row>
    <row r="787" spans="1:6" ht="14.1" customHeight="1" x14ac:dyDescent="0.25">
      <c r="A787" s="33" t="s">
        <v>207</v>
      </c>
      <c r="B787" s="34" t="str">
        <f ca="1">IFERROR(INDEX(UNSPSCDes,MATCH(INDIRECT(ADDRESS(ROW(),COLUMN()-1,4)),UNSPSCCode,0)),IF(INDIRECT(ADDRESS(ROW(),COLUMN()-1,4))="44121708","Marcadores",""))</f>
        <v>Marcadores</v>
      </c>
      <c r="C787" s="35" t="str">
        <f>IFERROR(VLOOKUP("UD",'[1]Informacion '!P:Q,2,FALSE),"")</f>
        <v>Unidad</v>
      </c>
      <c r="D787" s="33">
        <v>36</v>
      </c>
      <c r="E787" s="36">
        <v>25</v>
      </c>
      <c r="F787" s="37">
        <f t="shared" ca="1" si="18"/>
        <v>900</v>
      </c>
    </row>
    <row r="788" spans="1:6" ht="14.1" customHeight="1" x14ac:dyDescent="0.25">
      <c r="A788" s="33" t="s">
        <v>208</v>
      </c>
      <c r="B788" s="34" t="str">
        <f ca="1">IFERROR(INDEX(UNSPSCDes,MATCH(INDIRECT(ADDRESS(ROW(),COLUMN()-1,4)),UNSPSCCode,0)),IF(INDIRECT(ADDRESS(ROW(),COLUMN()-1,4))="44111503","Organizadores o bandejas para el escritorio",""))</f>
        <v>Organizadores o bandejas para el escritorio</v>
      </c>
      <c r="C788" s="35" t="str">
        <f>IFERROR(VLOOKUP("UD",'[1]Informacion '!P:Q,2,FALSE),"")</f>
        <v>Unidad</v>
      </c>
      <c r="D788" s="33">
        <v>10</v>
      </c>
      <c r="E788" s="36">
        <v>580</v>
      </c>
      <c r="F788" s="37">
        <f t="shared" ca="1" si="18"/>
        <v>5800</v>
      </c>
    </row>
    <row r="789" spans="1:6" ht="14.1" customHeight="1" x14ac:dyDescent="0.25">
      <c r="A789" s="33" t="s">
        <v>209</v>
      </c>
      <c r="B789" s="34" t="str">
        <f ca="1">IFERROR(INDEX(UNSPSCDes,MATCH(INDIRECT(ADDRESS(ROW(),COLUMN()-1,4)),UNSPSCCode,0)),IF(INDIRECT(ADDRESS(ROW(),COLUMN()-1,4))="44103112","Cinta de impresora",""))</f>
        <v>Cinta de impresora</v>
      </c>
      <c r="C789" s="35" t="str">
        <f>IFERROR(VLOOKUP("UD",'[1]Informacion '!P:Q,2,FALSE),"")</f>
        <v>Unidad</v>
      </c>
      <c r="D789" s="33">
        <v>10</v>
      </c>
      <c r="E789" s="36">
        <v>1900</v>
      </c>
      <c r="F789" s="37">
        <f t="shared" ca="1" si="18"/>
        <v>19000</v>
      </c>
    </row>
    <row r="790" spans="1:6" ht="14.1" customHeight="1" x14ac:dyDescent="0.25">
      <c r="A790" s="33" t="s">
        <v>210</v>
      </c>
      <c r="B790" s="34" t="str">
        <f ca="1">IFERROR(INDEX(UNSPSCDes,MATCH(INDIRECT(ADDRESS(ROW(),COLUMN()-1,4)),UNSPSCCode,0)),IF(INDIRECT(ADDRESS(ROW(),COLUMN()-1,4))="44102606","Cinta de máquinas de escribir",""))</f>
        <v>Cinta de máquinas de escribir</v>
      </c>
      <c r="C790" s="35" t="str">
        <f>IFERROR(VLOOKUP("UD",'[1]Informacion '!P:Q,2,FALSE),"")</f>
        <v>Unidad</v>
      </c>
      <c r="D790" s="33">
        <v>30</v>
      </c>
      <c r="E790" s="36">
        <v>60</v>
      </c>
      <c r="F790" s="37">
        <f t="shared" ca="1" si="18"/>
        <v>1800</v>
      </c>
    </row>
    <row r="791" spans="1:6" ht="14.1" customHeight="1" x14ac:dyDescent="0.25">
      <c r="A791" s="33" t="s">
        <v>211</v>
      </c>
      <c r="B791" s="34" t="str">
        <f ca="1">IFERROR(INDEX(UNSPSCDes,MATCH(INDIRECT(ADDRESS(ROW(),COLUMN()-1,4)),UNSPSCCode,0)),IF(INDIRECT(ADDRESS(ROW(),COLUMN()-1,4))="31201512","Cinta transparente",""))</f>
        <v>Cinta transparente</v>
      </c>
      <c r="C791" s="35" t="str">
        <f>IFERROR(VLOOKUP("UD",'[1]Informacion '!P:Q,2,FALSE),"")</f>
        <v>Unidad</v>
      </c>
      <c r="D791" s="33">
        <v>36</v>
      </c>
      <c r="E791" s="36">
        <v>85</v>
      </c>
      <c r="F791" s="37">
        <f t="shared" ca="1" si="18"/>
        <v>3060</v>
      </c>
    </row>
    <row r="792" spans="1:6" ht="14.1" customHeight="1" x14ac:dyDescent="0.25">
      <c r="A792" s="33" t="s">
        <v>211</v>
      </c>
      <c r="B792" s="34" t="str">
        <f ca="1">IFERROR(INDEX(UNSPSCDes,MATCH(INDIRECT(ADDRESS(ROW(),COLUMN()-1,4)),UNSPSCCode,0)),IF(INDIRECT(ADDRESS(ROW(),COLUMN()-1,4))="31201512","Cinta transparente",""))</f>
        <v>Cinta transparente</v>
      </c>
      <c r="C792" s="35" t="str">
        <f>IFERROR(VLOOKUP("UD",'[1]Informacion '!P:Q,2,FALSE),"")</f>
        <v>Unidad</v>
      </c>
      <c r="D792" s="33">
        <v>40</v>
      </c>
      <c r="E792" s="36">
        <v>72</v>
      </c>
      <c r="F792" s="37">
        <f t="shared" ca="1" si="18"/>
        <v>2880</v>
      </c>
    </row>
    <row r="793" spans="1:6" ht="14.1" customHeight="1" x14ac:dyDescent="0.25">
      <c r="A793" s="33" t="s">
        <v>212</v>
      </c>
      <c r="B793" s="34" t="str">
        <f ca="1">IFERROR(INDEX(UNSPSCDes,MATCH(INDIRECT(ADDRESS(ROW(),COLUMN()-1,4)),UNSPSCCode,0)),IF(INDIRECT(ADDRESS(ROW(),COLUMN()-1,4))="44121605","Dispensadores de cinta",""))</f>
        <v>Dispensadores de cinta</v>
      </c>
      <c r="C793" s="35" t="str">
        <f>IFERROR(VLOOKUP("UD",'[1]Informacion '!P:Q,2,FALSE),"")</f>
        <v>Unidad</v>
      </c>
      <c r="D793" s="33">
        <v>10</v>
      </c>
      <c r="E793" s="36">
        <v>95</v>
      </c>
      <c r="F793" s="37">
        <f t="shared" ca="1" si="18"/>
        <v>950</v>
      </c>
    </row>
    <row r="794" spans="1:6" ht="14.1" customHeight="1" x14ac:dyDescent="0.25">
      <c r="A794" s="33" t="s">
        <v>213</v>
      </c>
      <c r="B794" s="34" t="str">
        <f ca="1">IFERROR(INDEX(UNSPSCDes,MATCH(INDIRECT(ADDRESS(ROW(),COLUMN()-1,4)),UNSPSCCode,0)),IF(INDIRECT(ADDRESS(ROW(),COLUMN()-1,4))="44121628","Contenedores o dispensadores de clips",""))</f>
        <v>Contenedores o dispensadores de clips</v>
      </c>
      <c r="C794" s="35" t="str">
        <f>IFERROR(VLOOKUP("UD",'[1]Informacion '!P:Q,2,FALSE),"")</f>
        <v>Unidad</v>
      </c>
      <c r="D794" s="33">
        <v>15</v>
      </c>
      <c r="E794" s="36">
        <v>33</v>
      </c>
      <c r="F794" s="37">
        <f t="shared" ca="1" si="18"/>
        <v>495</v>
      </c>
    </row>
    <row r="795" spans="1:6" ht="14.1" customHeight="1" x14ac:dyDescent="0.25">
      <c r="A795" s="33" t="s">
        <v>214</v>
      </c>
      <c r="B795" s="34" t="str">
        <f ca="1">IFERROR(INDEX(UNSPSCDes,MATCH(INDIRECT(ADDRESS(ROW(),COLUMN()-1,4)),UNSPSCCode,0)),IF(INDIRECT(ADDRESS(ROW(),COLUMN()-1,4))="44121904","Repuestos de tinta",""))</f>
        <v>Repuestos de tinta</v>
      </c>
      <c r="C795" s="35" t="str">
        <f>IFERROR(VLOOKUP("UD",'[1]Informacion '!P:Q,2,FALSE),"")</f>
        <v>Unidad</v>
      </c>
      <c r="D795" s="33">
        <v>5</v>
      </c>
      <c r="E795" s="36">
        <v>38</v>
      </c>
      <c r="F795" s="37">
        <f t="shared" ca="1" si="18"/>
        <v>190</v>
      </c>
    </row>
    <row r="796" spans="1:6" ht="14.1" customHeight="1" x14ac:dyDescent="0.25">
      <c r="A796" s="33" t="s">
        <v>215</v>
      </c>
      <c r="B796" s="34" t="str">
        <f ca="1">IFERROR(INDEX(UNSPSCDes,MATCH(INDIRECT(ADDRESS(ROW(),COLUMN()-1,4)),UNSPSCCode,0)),IF(INDIRECT(ADDRESS(ROW(),COLUMN()-1,4))="44122016","Sujetador de documentos",""))</f>
        <v>Sujetador de documentos</v>
      </c>
      <c r="C796" s="35" t="str">
        <f>IFERROR(VLOOKUP("UD",'[1]Informacion '!P:Q,2,FALSE),"")</f>
        <v>Unidad</v>
      </c>
      <c r="D796" s="33">
        <v>50</v>
      </c>
      <c r="E796" s="36">
        <v>65</v>
      </c>
      <c r="F796" s="37">
        <f t="shared" ca="1" si="18"/>
        <v>3250</v>
      </c>
    </row>
    <row r="797" spans="1:6" ht="14.1" customHeight="1" x14ac:dyDescent="0.25">
      <c r="A797" s="33" t="s">
        <v>216</v>
      </c>
      <c r="B797" s="34" t="str">
        <f ca="1">IFERROR(INDEX(UNSPSCDes,MATCH(INDIRECT(ADDRESS(ROW(),COLUMN()-1,4)),UNSPSCCode,0)),IF(INDIRECT(ADDRESS(ROW(),COLUMN()-1,4))="44101602","Máquinas perforadoras o para unir papel",""))</f>
        <v>Máquinas perforadoras o para unir papel</v>
      </c>
      <c r="C797" s="35" t="str">
        <f>IFERROR(VLOOKUP("UD",'[1]Informacion '!P:Q,2,FALSE),"")</f>
        <v>Unidad</v>
      </c>
      <c r="D797" s="33">
        <v>3</v>
      </c>
      <c r="E797" s="36">
        <v>3150</v>
      </c>
      <c r="F797" s="37">
        <f t="shared" ca="1" si="18"/>
        <v>9450</v>
      </c>
    </row>
    <row r="798" spans="1:6" ht="14.1" customHeight="1" x14ac:dyDescent="0.25">
      <c r="A798" s="33" t="s">
        <v>216</v>
      </c>
      <c r="B798" s="34" t="str">
        <f ca="1">IFERROR(INDEX(UNSPSCDes,MATCH(INDIRECT(ADDRESS(ROW(),COLUMN()-1,4)),UNSPSCCode,0)),IF(INDIRECT(ADDRESS(ROW(),COLUMN()-1,4))="44101602","Máquinas perforadoras o para unir papel",""))</f>
        <v>Máquinas perforadoras o para unir papel</v>
      </c>
      <c r="C798" s="35" t="str">
        <f>IFERROR(VLOOKUP("UD",'[1]Informacion '!P:Q,2,FALSE),"")</f>
        <v>Unidad</v>
      </c>
      <c r="D798" s="33">
        <v>10</v>
      </c>
      <c r="E798" s="36">
        <v>455</v>
      </c>
      <c r="F798" s="37">
        <f t="shared" ca="1" si="18"/>
        <v>4550</v>
      </c>
    </row>
    <row r="799" spans="1:6" ht="14.1" customHeight="1" x14ac:dyDescent="0.25">
      <c r="A799" s="33" t="s">
        <v>217</v>
      </c>
      <c r="B799" s="34" t="str">
        <f ca="1">IFERROR(INDEX(UNSPSCDes,MATCH(INDIRECT(ADDRESS(ROW(),COLUMN()-1,4)),UNSPSCCode,0)),IF(INDIRECT(ADDRESS(ROW(),COLUMN()-1,4))="44111515","Cajas u organizadores de almacenamiento de archivos",""))</f>
        <v>Cajas u organizadores de almacenamiento de archivos</v>
      </c>
      <c r="C799" s="35" t="str">
        <f>IFERROR(VLOOKUP("UD",'[1]Informacion '!P:Q,2,FALSE),"")</f>
        <v>Unidad</v>
      </c>
      <c r="D799" s="33">
        <v>150</v>
      </c>
      <c r="E799" s="36">
        <v>150</v>
      </c>
      <c r="F799" s="37">
        <f t="shared" ca="1" si="18"/>
        <v>22500</v>
      </c>
    </row>
    <row r="800" spans="1:6" ht="14.1" customHeight="1" x14ac:dyDescent="0.25">
      <c r="A800" s="33" t="s">
        <v>218</v>
      </c>
      <c r="B800" s="34" t="str">
        <f ca="1">IFERROR(INDEX(UNSPSCDes,MATCH(INDIRECT(ADDRESS(ROW(),COLUMN()-1,4)),UNSPSCCode,0)),IF(INDIRECT(ADDRESS(ROW(),COLUMN()-1,4))="44103504","Alambres o espirales de encuadernación",""))</f>
        <v>Alambres o espirales de encuadernación</v>
      </c>
      <c r="C800" s="35" t="str">
        <f>IFERROR(VLOOKUP("CAJ",'[1]Informacion '!P:Q,2,FALSE),"")</f>
        <v>Caja</v>
      </c>
      <c r="D800" s="33">
        <v>5</v>
      </c>
      <c r="E800" s="36">
        <v>495</v>
      </c>
      <c r="F800" s="37">
        <f t="shared" ca="1" si="18"/>
        <v>2475</v>
      </c>
    </row>
    <row r="801" spans="1:10" ht="14.1" customHeight="1" x14ac:dyDescent="0.25">
      <c r="A801" s="33" t="s">
        <v>218</v>
      </c>
      <c r="B801" s="34" t="str">
        <f ca="1">IFERROR(INDEX(UNSPSCDes,MATCH(INDIRECT(ADDRESS(ROW(),COLUMN()-1,4)),UNSPSCCode,0)),IF(INDIRECT(ADDRESS(ROW(),COLUMN()-1,4))="44103504","Alambres o espirales de encuadernación",""))</f>
        <v>Alambres o espirales de encuadernación</v>
      </c>
      <c r="C801" s="35" t="str">
        <f>IFERROR(VLOOKUP("CAJ",'[1]Informacion '!P:Q,2,FALSE),"")</f>
        <v>Caja</v>
      </c>
      <c r="D801" s="33">
        <v>5</v>
      </c>
      <c r="E801" s="36">
        <v>571</v>
      </c>
      <c r="F801" s="37">
        <f t="shared" ca="1" si="18"/>
        <v>2855</v>
      </c>
    </row>
    <row r="802" spans="1:10" ht="14.1" customHeight="1" x14ac:dyDescent="0.25">
      <c r="A802" s="33" t="s">
        <v>218</v>
      </c>
      <c r="B802" s="34" t="str">
        <f ca="1">IFERROR(INDEX(UNSPSCDes,MATCH(INDIRECT(ADDRESS(ROW(),COLUMN()-1,4)),UNSPSCCode,0)),IF(INDIRECT(ADDRESS(ROW(),COLUMN()-1,4))="44103504","Alambres o espirales de encuadernación",""))</f>
        <v>Alambres o espirales de encuadernación</v>
      </c>
      <c r="C802" s="35" t="str">
        <f>IFERROR(VLOOKUP("CAJ",'[1]Informacion '!P:Q,2,FALSE),"")</f>
        <v>Caja</v>
      </c>
      <c r="D802" s="33">
        <v>5</v>
      </c>
      <c r="E802" s="36">
        <v>368</v>
      </c>
      <c r="F802" s="37">
        <f t="shared" ca="1" si="18"/>
        <v>1840</v>
      </c>
    </row>
    <row r="803" spans="1:10" ht="14.1" customHeight="1" x14ac:dyDescent="0.25">
      <c r="A803" s="33" t="s">
        <v>194</v>
      </c>
      <c r="B803" s="34" t="str">
        <f ca="1">IFERROR(INDEX(UNSPSCDes,MATCH(INDIRECT(ADDRESS(ROW(),COLUMN()-1,4)),UNSPSCCode,0)),IF(INDIRECT(ADDRESS(ROW(),COLUMN()-1,4))="14111531","Papel libros o cuadernos para bitácoras",""))</f>
        <v>Papel libros o cuadernos para bitácoras</v>
      </c>
      <c r="C803" s="35" t="str">
        <f>IFERROR(VLOOKUP("UD",'[1]Informacion '!P:Q,2,FALSE),"")</f>
        <v>Unidad</v>
      </c>
      <c r="D803" s="33">
        <v>20</v>
      </c>
      <c r="E803" s="36">
        <v>180</v>
      </c>
      <c r="F803" s="37">
        <f t="shared" ca="1" si="18"/>
        <v>3600</v>
      </c>
    </row>
    <row r="804" spans="1:10" ht="14.1" customHeight="1" x14ac:dyDescent="0.25">
      <c r="A804" s="33" t="s">
        <v>194</v>
      </c>
      <c r="B804" s="34" t="str">
        <f ca="1">IFERROR(INDEX(UNSPSCDes,MATCH(INDIRECT(ADDRESS(ROW(),COLUMN()-1,4)),UNSPSCCode,0)),IF(INDIRECT(ADDRESS(ROW(),COLUMN()-1,4))="14111531","Papel libros o cuadernos para bitácoras",""))</f>
        <v>Papel libros o cuadernos para bitácoras</v>
      </c>
      <c r="C804" s="35" t="str">
        <f>IFERROR(VLOOKUP("UD",'[1]Informacion '!P:Q,2,FALSE),"")</f>
        <v>Unidad</v>
      </c>
      <c r="D804" s="33">
        <v>20</v>
      </c>
      <c r="E804" s="36">
        <v>170</v>
      </c>
      <c r="F804" s="37">
        <f t="shared" ref="F804:F810" ca="1" si="19">INDIRECT(ADDRESS(ROW(),COLUMN()-2,4))*INDIRECT(ADDRESS(ROW(),COLUMN()-1,4))</f>
        <v>3400</v>
      </c>
    </row>
    <row r="805" spans="1:10" ht="14.1" customHeight="1" x14ac:dyDescent="0.25">
      <c r="A805" s="33" t="s">
        <v>199</v>
      </c>
      <c r="B805" s="34" t="str">
        <f ca="1">IFERROR(INDEX(UNSPSCDes,MATCH(INDIRECT(ADDRESS(ROW(),COLUMN()-1,4)),UNSPSCCode,0)),IF(INDIRECT(ADDRESS(ROW(),COLUMN()-1,4))="44122011","Folders",""))</f>
        <v>Folders</v>
      </c>
      <c r="C805" s="35" t="str">
        <f>IFERROR(VLOOKUP("CAJ",'[1]Informacion '!P:Q,2,FALSE),"")</f>
        <v>Caja</v>
      </c>
      <c r="D805" s="33">
        <v>20</v>
      </c>
      <c r="E805" s="36">
        <v>1200</v>
      </c>
      <c r="F805" s="37">
        <f t="shared" ca="1" si="19"/>
        <v>24000</v>
      </c>
    </row>
    <row r="806" spans="1:10" ht="14.1" customHeight="1" x14ac:dyDescent="0.25">
      <c r="A806" s="33" t="s">
        <v>219</v>
      </c>
      <c r="B806" s="34" t="str">
        <f ca="1">IFERROR(INDEX(UNSPSCDes,MATCH(INDIRECT(ADDRESS(ROW(),COLUMN()-1,4)),UNSPSCCode,0)),IF(INDIRECT(ADDRESS(ROW(),COLUMN()-1,4))="26111702","Pilas alcalinas",""))</f>
        <v>Pilas alcalinas</v>
      </c>
      <c r="C806" s="35" t="str">
        <f>IFERROR(VLOOKUP("PAQ",'[1]Informacion '!P:Q,2,FALSE),"")</f>
        <v>Paquete</v>
      </c>
      <c r="D806" s="33">
        <v>20</v>
      </c>
      <c r="E806" s="36">
        <v>35</v>
      </c>
      <c r="F806" s="37">
        <f t="shared" ca="1" si="19"/>
        <v>700</v>
      </c>
    </row>
    <row r="807" spans="1:10" ht="14.1" customHeight="1" x14ac:dyDescent="0.25">
      <c r="A807" s="33" t="s">
        <v>220</v>
      </c>
      <c r="B807" s="34" t="str">
        <f ca="1">IFERROR(INDEX(UNSPSCDes,MATCH(INDIRECT(ADDRESS(ROW(),COLUMN()-1,4)),UNSPSCCode,0)),IF(INDIRECT(ADDRESS(ROW(),COLUMN()-1,4))="47121702","Contenedores de desperdicios o revestimientos rígidos",""))</f>
        <v>Contenedores de desperdicios o revestimientos rígidos</v>
      </c>
      <c r="C807" s="35" t="str">
        <f>IFERROR(VLOOKUP("UD",'[1]Informacion '!P:Q,2,FALSE),"")</f>
        <v>Unidad</v>
      </c>
      <c r="D807" s="33">
        <v>10</v>
      </c>
      <c r="E807" s="36">
        <v>242</v>
      </c>
      <c r="F807" s="37">
        <f t="shared" ca="1" si="19"/>
        <v>2420</v>
      </c>
    </row>
    <row r="808" spans="1:10" ht="14.1" customHeight="1" x14ac:dyDescent="0.25">
      <c r="A808" s="33" t="s">
        <v>221</v>
      </c>
      <c r="B808" s="34" t="str">
        <f ca="1">IFERROR(INDEX(UNSPSCDes,MATCH(INDIRECT(ADDRESS(ROW(),COLUMN()-1,4)),UNSPSCCode,0)),IF(INDIRECT(ADDRESS(ROW(),COLUMN()-1,4))="44121503","Sobres",""))</f>
        <v>Sobres</v>
      </c>
      <c r="C808" s="35" t="str">
        <f>IFERROR(VLOOKUP("UD",'[1]Informacion '!P:Q,2,FALSE),"")</f>
        <v>Unidad</v>
      </c>
      <c r="D808" s="33">
        <v>1</v>
      </c>
      <c r="E808" s="36">
        <v>1700</v>
      </c>
      <c r="F808" s="37">
        <f t="shared" ca="1" si="19"/>
        <v>1700</v>
      </c>
    </row>
    <row r="809" spans="1:10" ht="14.1" customHeight="1" x14ac:dyDescent="0.25">
      <c r="A809" s="33" t="s">
        <v>222</v>
      </c>
      <c r="B809" s="34" t="str">
        <f ca="1">IFERROR(INDEX(UNSPSCDes,MATCH(INDIRECT(ADDRESS(ROW(),COLUMN()-1,4)),UNSPSCCode,0)),IF(INDIRECT(ADDRESS(ROW(),COLUMN()-1,4))="44121506","Sobres estándar",""))</f>
        <v>Sobres estándar</v>
      </c>
      <c r="C809" s="35" t="str">
        <f>IFERROR(VLOOKUP("CAJ",'[1]Informacion '!P:Q,2,FALSE),"")</f>
        <v>Caja</v>
      </c>
      <c r="D809" s="33">
        <v>1</v>
      </c>
      <c r="E809" s="36">
        <v>1200</v>
      </c>
      <c r="F809" s="37">
        <f t="shared" ca="1" si="19"/>
        <v>1200</v>
      </c>
    </row>
    <row r="810" spans="1:10" ht="14.1" customHeight="1" x14ac:dyDescent="0.25">
      <c r="A810" s="33" t="s">
        <v>223</v>
      </c>
      <c r="B810" s="34" t="str">
        <f ca="1">IFERROR(INDEX(UNSPSCDes,MATCH(INDIRECT(ADDRESS(ROW(),COLUMN()-1,4)),UNSPSCCode,0)),IF(INDIRECT(ADDRESS(ROW(),COLUMN()-1,4))="44121507","Sobres de catálogos o de gancho",""))</f>
        <v>Sobres de catálogos o de gancho</v>
      </c>
      <c r="C810" s="35" t="str">
        <f>IFERROR(VLOOKUP("CAJ",'[1]Informacion '!P:Q,2,FALSE),"")</f>
        <v>Caja</v>
      </c>
      <c r="D810" s="33">
        <v>1</v>
      </c>
      <c r="E810" s="36">
        <v>1700</v>
      </c>
      <c r="F810" s="37">
        <f t="shared" ca="1" si="19"/>
        <v>1700</v>
      </c>
    </row>
    <row r="811" spans="1:10" ht="14.1" customHeight="1" x14ac:dyDescent="0.25">
      <c r="E811" s="38" t="s">
        <v>48</v>
      </c>
      <c r="F811" s="39">
        <f ca="1">SUM(Table55[MONTO TOTAL ESTIMADO])</f>
        <v>430104.07999999996</v>
      </c>
      <c r="H811" s="25" t="str">
        <f>C733</f>
        <v>Bienes</v>
      </c>
      <c r="I811" s="25" t="str">
        <f>E733</f>
        <v>Sí</v>
      </c>
      <c r="J811" s="25" t="str">
        <f>D733</f>
        <v>Compras Menores</v>
      </c>
    </row>
    <row r="812" spans="1:10" ht="14.1" customHeight="1" x14ac:dyDescent="0.25"/>
    <row r="813" spans="1:10" ht="34.15" customHeight="1" thickBot="1" x14ac:dyDescent="0.3">
      <c r="A813" s="24" t="s">
        <v>19</v>
      </c>
      <c r="B813" s="24" t="s">
        <v>20</v>
      </c>
      <c r="C813" s="24" t="s">
        <v>21</v>
      </c>
      <c r="D813" s="24" t="s">
        <v>22</v>
      </c>
      <c r="E813" s="24" t="s">
        <v>23</v>
      </c>
      <c r="F813" s="24" t="s">
        <v>24</v>
      </c>
    </row>
    <row r="814" spans="1:10" ht="14.1" customHeight="1" thickBot="1" x14ac:dyDescent="0.3">
      <c r="A814" s="26" t="s">
        <v>176</v>
      </c>
      <c r="B814" s="26" t="s">
        <v>176</v>
      </c>
      <c r="C814" s="26" t="s">
        <v>27</v>
      </c>
      <c r="D814" s="26" t="s">
        <v>28</v>
      </c>
      <c r="E814" s="26" t="s">
        <v>54</v>
      </c>
      <c r="F814" s="26"/>
    </row>
    <row r="815" spans="1:10" ht="14.1" customHeight="1" thickBot="1" x14ac:dyDescent="0.3">
      <c r="A815" s="43" t="s">
        <v>30</v>
      </c>
      <c r="B815" s="27" t="s">
        <v>31</v>
      </c>
      <c r="C815" s="28">
        <v>44652</v>
      </c>
      <c r="D815" s="43" t="s">
        <v>32</v>
      </c>
      <c r="E815" s="29" t="s">
        <v>33</v>
      </c>
      <c r="F815" s="30" t="s">
        <v>34</v>
      </c>
    </row>
    <row r="816" spans="1:10" ht="14.1" customHeight="1" thickBot="1" x14ac:dyDescent="0.3">
      <c r="A816" s="44"/>
      <c r="B816" s="27" t="s">
        <v>35</v>
      </c>
      <c r="C816" s="31">
        <f>IF(C815="","",IF(AND(MONTH(C815)&gt;=1,MONTH(C815)&lt;=3),1,IF(AND(MONTH(C815)&gt;=4,MONTH(C815)&lt;=6),2,IF(AND(MONTH(C815)&gt;=7,MONTH(C815)&lt;=9),3,4))))</f>
        <v>2</v>
      </c>
      <c r="D816" s="44"/>
      <c r="E816" s="29" t="s">
        <v>36</v>
      </c>
      <c r="F816" s="30"/>
    </row>
    <row r="817" spans="1:6" ht="14.1" customHeight="1" thickBot="1" x14ac:dyDescent="0.3">
      <c r="A817" s="44"/>
      <c r="B817" s="27" t="s">
        <v>37</v>
      </c>
      <c r="C817" s="28">
        <v>44742</v>
      </c>
      <c r="D817" s="44"/>
      <c r="E817" s="29" t="s">
        <v>38</v>
      </c>
      <c r="F817" s="30"/>
    </row>
    <row r="818" spans="1:6" ht="14.1" customHeight="1" thickBot="1" x14ac:dyDescent="0.3">
      <c r="A818" s="44"/>
      <c r="B818" s="27" t="s">
        <v>35</v>
      </c>
      <c r="C818" s="31">
        <f>IF(C817="","",IF(AND(MONTH(C817)&gt;=1,MONTH(C817)&lt;=3),1,IF(AND(MONTH(C817)&gt;=4,MONTH(C817)&lt;=6),2,IF(AND(MONTH(C817)&gt;=7,MONTH(C817)&lt;=9),3,4))))</f>
        <v>2</v>
      </c>
      <c r="D818" s="44"/>
      <c r="E818" s="29" t="s">
        <v>39</v>
      </c>
      <c r="F818" s="30"/>
    </row>
    <row r="819" spans="1:6" ht="14.1" customHeight="1" x14ac:dyDescent="0.25"/>
    <row r="820" spans="1:6" ht="14.1" customHeight="1" thickBot="1" x14ac:dyDescent="0.3">
      <c r="A820" s="32" t="s">
        <v>40</v>
      </c>
      <c r="B820" s="32" t="s">
        <v>41</v>
      </c>
      <c r="C820" s="32" t="s">
        <v>42</v>
      </c>
      <c r="D820" s="32" t="s">
        <v>43</v>
      </c>
      <c r="E820" s="32" t="s">
        <v>44</v>
      </c>
      <c r="F820" s="32" t="s">
        <v>45</v>
      </c>
    </row>
    <row r="821" spans="1:6" ht="14.1" customHeight="1" x14ac:dyDescent="0.25">
      <c r="A821" s="33" t="s">
        <v>177</v>
      </c>
      <c r="B821" s="34" t="str">
        <f ca="1">IFERROR(INDEX(UNSPSCDes,MATCH(INDIRECT(ADDRESS(ROW(),COLUMN()-1,4)),UNSPSCCode,0)),IF(INDIRECT(ADDRESS(ROW(),COLUMN()-1,4))="44121802","Fluido de corrección",""))</f>
        <v>Fluido de corrección</v>
      </c>
      <c r="C821" s="35" t="str">
        <f>IFERROR(VLOOKUP("UD",'[1]Informacion '!P:Q,2,FALSE),"")</f>
        <v>Unidad</v>
      </c>
      <c r="D821" s="33">
        <v>15</v>
      </c>
      <c r="E821" s="36">
        <v>45</v>
      </c>
      <c r="F821" s="37">
        <f t="shared" ref="F821:F884" ca="1" si="20">INDIRECT(ADDRESS(ROW(),COLUMN()-2,4))*INDIRECT(ADDRESS(ROW(),COLUMN()-1,4))</f>
        <v>675</v>
      </c>
    </row>
    <row r="822" spans="1:6" ht="14.1" customHeight="1" x14ac:dyDescent="0.25">
      <c r="A822" s="33" t="s">
        <v>178</v>
      </c>
      <c r="B822" s="34" t="str">
        <f ca="1">IFERROR(INDEX(UNSPSCDes,MATCH(INDIRECT(ADDRESS(ROW(),COLUMN()-1,4)),UNSPSCCode,0)),IF(INDIRECT(ADDRESS(ROW(),COLUMN()-1,4))="44121706","Lápices de madera",""))</f>
        <v>Lápices de madera</v>
      </c>
      <c r="C822" s="35" t="str">
        <f>IFERROR(VLOOKUP("CAJ",'[1]Informacion '!P:Q,2,FALSE),"")</f>
        <v>Caja</v>
      </c>
      <c r="D822" s="33">
        <v>50</v>
      </c>
      <c r="E822" s="36">
        <v>50</v>
      </c>
      <c r="F822" s="37">
        <f t="shared" ca="1" si="20"/>
        <v>2500</v>
      </c>
    </row>
    <row r="823" spans="1:6" ht="14.1" customHeight="1" x14ac:dyDescent="0.25">
      <c r="A823" s="33" t="s">
        <v>178</v>
      </c>
      <c r="B823" s="34" t="str">
        <f ca="1">IFERROR(INDEX(UNSPSCDes,MATCH(INDIRECT(ADDRESS(ROW(),COLUMN()-1,4)),UNSPSCCode,0)),IF(INDIRECT(ADDRESS(ROW(),COLUMN()-1,4))="44121706","Lápices de madera",""))</f>
        <v>Lápices de madera</v>
      </c>
      <c r="C823" s="35" t="str">
        <f>IFERROR(VLOOKUP("CAJ",'[1]Informacion '!P:Q,2,FALSE),"")</f>
        <v>Caja</v>
      </c>
      <c r="D823" s="33">
        <v>10</v>
      </c>
      <c r="E823" s="36">
        <v>10</v>
      </c>
      <c r="F823" s="37">
        <f t="shared" ca="1" si="20"/>
        <v>100</v>
      </c>
    </row>
    <row r="824" spans="1:6" ht="14.1" customHeight="1" x14ac:dyDescent="0.25">
      <c r="A824" s="33" t="s">
        <v>179</v>
      </c>
      <c r="B824" s="34" t="str">
        <f ca="1">IFERROR(INDEX(UNSPSCDes,MATCH(INDIRECT(ADDRESS(ROW(),COLUMN()-1,4)),UNSPSCCode,0)),IF(INDIRECT(ADDRESS(ROW(),COLUMN()-1,4))="44121716","Resaltadores",""))</f>
        <v>Resaltadores</v>
      </c>
      <c r="C824" s="35" t="str">
        <f>IFERROR(VLOOKUP("UD",'[1]Informacion '!P:Q,2,FALSE),"")</f>
        <v>Unidad</v>
      </c>
      <c r="D824" s="33">
        <v>75</v>
      </c>
      <c r="E824" s="36">
        <v>20</v>
      </c>
      <c r="F824" s="37">
        <f t="shared" ca="1" si="20"/>
        <v>1500</v>
      </c>
    </row>
    <row r="825" spans="1:6" ht="14.1" customHeight="1" x14ac:dyDescent="0.25">
      <c r="A825" s="33" t="s">
        <v>180</v>
      </c>
      <c r="B825" s="34" t="str">
        <f ca="1">IFERROR(INDEX(UNSPSCDes,MATCH(INDIRECT(ADDRESS(ROW(),COLUMN()-1,4)),UNSPSCCode,0)),IF(INDIRECT(ADDRESS(ROW(),COLUMN()-1,4))="44122005","Cubiertas para revistas o libros",""))</f>
        <v>Cubiertas para revistas o libros</v>
      </c>
      <c r="C825" s="35" t="str">
        <f>IFERROR(VLOOKUP("PAQ",'[1]Informacion '!P:Q,2,FALSE),"")</f>
        <v>Paquete</v>
      </c>
      <c r="D825" s="33">
        <v>30</v>
      </c>
      <c r="E825" s="36">
        <v>260</v>
      </c>
      <c r="F825" s="37">
        <f t="shared" ca="1" si="20"/>
        <v>7800</v>
      </c>
    </row>
    <row r="826" spans="1:6" ht="14.1" customHeight="1" x14ac:dyDescent="0.25">
      <c r="A826" s="33" t="s">
        <v>181</v>
      </c>
      <c r="B826" s="34" t="str">
        <f ca="1">IFERROR(INDEX(UNSPSCDes,MATCH(INDIRECT(ADDRESS(ROW(),COLUMN()-1,4)),UNSPSCCode,0)),IF(INDIRECT(ADDRESS(ROW(),COLUMN()-1,4))="44122010","Separadores",""))</f>
        <v>Separadores</v>
      </c>
      <c r="C826" s="35" t="str">
        <f>IFERROR(VLOOKUP("CAJ",'[1]Informacion '!P:Q,2,FALSE),"")</f>
        <v>Caja</v>
      </c>
      <c r="D826" s="33">
        <v>2</v>
      </c>
      <c r="E826" s="36">
        <v>1700</v>
      </c>
      <c r="F826" s="37">
        <f t="shared" ca="1" si="20"/>
        <v>3400</v>
      </c>
    </row>
    <row r="827" spans="1:6" ht="14.1" customHeight="1" x14ac:dyDescent="0.25">
      <c r="A827" s="33" t="s">
        <v>181</v>
      </c>
      <c r="B827" s="34" t="str">
        <f ca="1">IFERROR(INDEX(UNSPSCDes,MATCH(INDIRECT(ADDRESS(ROW(),COLUMN()-1,4)),UNSPSCCode,0)),IF(INDIRECT(ADDRESS(ROW(),COLUMN()-1,4))="44122010","Separadores",""))</f>
        <v>Separadores</v>
      </c>
      <c r="C827" s="35" t="str">
        <f>IFERROR(VLOOKUP("CAJ",'[1]Informacion '!P:Q,2,FALSE),"")</f>
        <v>Caja</v>
      </c>
      <c r="D827" s="33">
        <v>2</v>
      </c>
      <c r="E827" s="36">
        <v>1000</v>
      </c>
      <c r="F827" s="37">
        <f t="shared" ca="1" si="20"/>
        <v>2000</v>
      </c>
    </row>
    <row r="828" spans="1:6" ht="14.1" customHeight="1" x14ac:dyDescent="0.25">
      <c r="A828" s="33" t="s">
        <v>182</v>
      </c>
      <c r="B828" s="34" t="str">
        <f ca="1">IFERROR(INDEX(UNSPSCDes,MATCH(INDIRECT(ADDRESS(ROW(),COLUMN()-1,4)),UNSPSCCode,0)),IF(INDIRECT(ADDRESS(ROW(),COLUMN()-1,4))="44122104","Clips para papel",""))</f>
        <v>Clips para papel</v>
      </c>
      <c r="C828" s="35" t="str">
        <f>IFERROR(VLOOKUP("CAJ",'[1]Informacion '!P:Q,2,FALSE),"")</f>
        <v>Caja</v>
      </c>
      <c r="D828" s="33">
        <v>50</v>
      </c>
      <c r="E828" s="36">
        <v>300</v>
      </c>
      <c r="F828" s="37">
        <f t="shared" ca="1" si="20"/>
        <v>15000</v>
      </c>
    </row>
    <row r="829" spans="1:6" ht="14.1" customHeight="1" x14ac:dyDescent="0.25">
      <c r="A829" s="33" t="s">
        <v>183</v>
      </c>
      <c r="B829" s="34" t="str">
        <f ca="1">IFERROR(INDEX(UNSPSCDes,MATCH(INDIRECT(ADDRESS(ROW(),COLUMN()-1,4)),UNSPSCCode,0)),IF(INDIRECT(ADDRESS(ROW(),COLUMN()-1,4))="44121615","Grapadoras",""))</f>
        <v>Grapadoras</v>
      </c>
      <c r="C829" s="35" t="str">
        <f>IFERROR(VLOOKUP("UD",'[1]Informacion '!P:Q,2,FALSE),"")</f>
        <v>Unidad</v>
      </c>
      <c r="D829" s="33">
        <v>20</v>
      </c>
      <c r="E829" s="36">
        <v>220</v>
      </c>
      <c r="F829" s="37">
        <f t="shared" ca="1" si="20"/>
        <v>4400</v>
      </c>
    </row>
    <row r="830" spans="1:6" ht="14.1" customHeight="1" x14ac:dyDescent="0.25">
      <c r="A830" s="33" t="s">
        <v>184</v>
      </c>
      <c r="B830" s="34" t="str">
        <f ca="1">IFERROR(INDEX(UNSPSCDes,MATCH(INDIRECT(ADDRESS(ROW(),COLUMN()-1,4)),UNSPSCCode,0)),IF(INDIRECT(ADDRESS(ROW(),COLUMN()-1,4))="44121613","Removedores de grapas (saca ganchos)",""))</f>
        <v>Removedores de grapas (saca ganchos)</v>
      </c>
      <c r="C830" s="35" t="str">
        <f>IFERROR(VLOOKUP("UD",'[1]Informacion '!P:Q,2,FALSE),"")</f>
        <v>Unidad</v>
      </c>
      <c r="D830" s="33">
        <v>20</v>
      </c>
      <c r="E830" s="36">
        <v>50</v>
      </c>
      <c r="F830" s="37">
        <f t="shared" ca="1" si="20"/>
        <v>1000</v>
      </c>
    </row>
    <row r="831" spans="1:6" ht="14.1" customHeight="1" x14ac:dyDescent="0.25">
      <c r="A831" s="33" t="s">
        <v>185</v>
      </c>
      <c r="B831" s="34" t="str">
        <f ca="1">IFERROR(INDEX(UNSPSCDes,MATCH(INDIRECT(ADDRESS(ROW(),COLUMN()-1,4)),UNSPSCCode,0)),IF(INDIRECT(ADDRESS(ROW(),COLUMN()-1,4))="44122105","Clips para carpetas o bulldog",""))</f>
        <v>Clips para carpetas o bulldog</v>
      </c>
      <c r="C831" s="35" t="str">
        <f>IFERROR(VLOOKUP("CAJ",'[1]Informacion '!P:Q,2,FALSE),"")</f>
        <v>Caja</v>
      </c>
      <c r="D831" s="33">
        <v>20</v>
      </c>
      <c r="E831" s="36">
        <v>58</v>
      </c>
      <c r="F831" s="37">
        <f t="shared" ca="1" si="20"/>
        <v>1160</v>
      </c>
    </row>
    <row r="832" spans="1:6" ht="14.1" customHeight="1" x14ac:dyDescent="0.25">
      <c r="A832" s="33" t="s">
        <v>185</v>
      </c>
      <c r="B832" s="34" t="str">
        <f ca="1">IFERROR(INDEX(UNSPSCDes,MATCH(INDIRECT(ADDRESS(ROW(),COLUMN()-1,4)),UNSPSCCode,0)),IF(INDIRECT(ADDRESS(ROW(),COLUMN()-1,4))="44122105","Clips para carpetas o bulldog",""))</f>
        <v>Clips para carpetas o bulldog</v>
      </c>
      <c r="C832" s="35" t="str">
        <f>IFERROR(VLOOKUP("CAJ",'[1]Informacion '!P:Q,2,FALSE),"")</f>
        <v>Caja</v>
      </c>
      <c r="D832" s="33">
        <v>20</v>
      </c>
      <c r="E832" s="36">
        <v>70</v>
      </c>
      <c r="F832" s="37">
        <f t="shared" ca="1" si="20"/>
        <v>1400</v>
      </c>
    </row>
    <row r="833" spans="1:6" ht="14.1" customHeight="1" x14ac:dyDescent="0.25">
      <c r="A833" s="33" t="s">
        <v>185</v>
      </c>
      <c r="B833" s="34" t="str">
        <f ca="1">IFERROR(INDEX(UNSPSCDes,MATCH(INDIRECT(ADDRESS(ROW(),COLUMN()-1,4)),UNSPSCCode,0)),IF(INDIRECT(ADDRESS(ROW(),COLUMN()-1,4))="44122105","Clips para carpetas o bulldog",""))</f>
        <v>Clips para carpetas o bulldog</v>
      </c>
      <c r="C833" s="35" t="str">
        <f>IFERROR(VLOOKUP("CAJ",'[1]Informacion '!P:Q,2,FALSE),"")</f>
        <v>Caja</v>
      </c>
      <c r="D833" s="33">
        <v>20</v>
      </c>
      <c r="E833" s="36">
        <v>85</v>
      </c>
      <c r="F833" s="37">
        <f t="shared" ca="1" si="20"/>
        <v>1700</v>
      </c>
    </row>
    <row r="834" spans="1:6" ht="14.1" customHeight="1" x14ac:dyDescent="0.25">
      <c r="A834" s="33" t="s">
        <v>185</v>
      </c>
      <c r="B834" s="34" t="str">
        <f ca="1">IFERROR(INDEX(UNSPSCDes,MATCH(INDIRECT(ADDRESS(ROW(),COLUMN()-1,4)),UNSPSCCode,0)),IF(INDIRECT(ADDRESS(ROW(),COLUMN()-1,4))="44122105","Clips para carpetas o bulldog",""))</f>
        <v>Clips para carpetas o bulldog</v>
      </c>
      <c r="C834" s="35" t="str">
        <f>IFERROR(VLOOKUP("CAJ",'[1]Informacion '!P:Q,2,FALSE),"")</f>
        <v>Caja</v>
      </c>
      <c r="D834" s="33">
        <v>20</v>
      </c>
      <c r="E834" s="36">
        <v>147</v>
      </c>
      <c r="F834" s="37">
        <f t="shared" ca="1" si="20"/>
        <v>2940</v>
      </c>
    </row>
    <row r="835" spans="1:6" ht="14.1" customHeight="1" x14ac:dyDescent="0.25">
      <c r="A835" s="33" t="s">
        <v>186</v>
      </c>
      <c r="B835" s="34" t="str">
        <f ca="1">IFERROR(INDEX(UNSPSCDes,MATCH(INDIRECT(ADDRESS(ROW(),COLUMN()-1,4)),UNSPSCCode,0)),IF(INDIRECT(ADDRESS(ROW(),COLUMN()-1,4))="44121618","Tijeras",""))</f>
        <v>Tijeras</v>
      </c>
      <c r="C835" s="35" t="str">
        <f>IFERROR(VLOOKUP("UD",'[1]Informacion '!P:Q,2,FALSE),"")</f>
        <v>Unidad</v>
      </c>
      <c r="D835" s="33">
        <v>25</v>
      </c>
      <c r="E835" s="36">
        <v>28</v>
      </c>
      <c r="F835" s="37">
        <f t="shared" ca="1" si="20"/>
        <v>700</v>
      </c>
    </row>
    <row r="836" spans="1:6" ht="14.1" customHeight="1" x14ac:dyDescent="0.25">
      <c r="A836" s="33" t="s">
        <v>187</v>
      </c>
      <c r="B836" s="34" t="str">
        <f ca="1">IFERROR(INDEX(UNSPSCDes,MATCH(INDIRECT(ADDRESS(ROW(),COLUMN()-1,4)),UNSPSCCode,0)),IF(INDIRECT(ADDRESS(ROW(),COLUMN()-1,4))="12181501","Ceras sintéticas",""))</f>
        <v>Ceras sintéticas</v>
      </c>
      <c r="C836" s="35" t="str">
        <f>IFERROR(VLOOKUP("UD",'[1]Informacion '!P:Q,2,FALSE),"")</f>
        <v>Unidad</v>
      </c>
      <c r="D836" s="33">
        <v>20</v>
      </c>
      <c r="E836" s="36">
        <v>70</v>
      </c>
      <c r="F836" s="37">
        <f t="shared" ca="1" si="20"/>
        <v>1400</v>
      </c>
    </row>
    <row r="837" spans="1:6" ht="14.1" customHeight="1" x14ac:dyDescent="0.25">
      <c r="A837" s="33" t="s">
        <v>188</v>
      </c>
      <c r="B837" s="34" t="str">
        <f ca="1">IFERROR(INDEX(UNSPSCDes,MATCH(INDIRECT(ADDRESS(ROW(),COLUMN()-1,4)),UNSPSCCode,0)),IF(INDIRECT(ADDRESS(ROW(),COLUMN()-1,4))="14111506","Papel para impresión de computadores",""))</f>
        <v>Papel para impresión de computadores</v>
      </c>
      <c r="C837" s="35" t="str">
        <f>IFERROR(VLOOKUP("RESMA",'[1]Informacion '!P:Q,2,FALSE),"")</f>
        <v>Resma</v>
      </c>
      <c r="D837" s="33">
        <v>300</v>
      </c>
      <c r="E837" s="36">
        <v>250</v>
      </c>
      <c r="F837" s="37">
        <f t="shared" ca="1" si="20"/>
        <v>75000</v>
      </c>
    </row>
    <row r="838" spans="1:6" ht="14.1" customHeight="1" x14ac:dyDescent="0.25">
      <c r="A838" s="33" t="s">
        <v>188</v>
      </c>
      <c r="B838" s="34" t="str">
        <f ca="1">IFERROR(INDEX(UNSPSCDes,MATCH(INDIRECT(ADDRESS(ROW(),COLUMN()-1,4)),UNSPSCCode,0)),IF(INDIRECT(ADDRESS(ROW(),COLUMN()-1,4))="14111506","Papel para impresión de computadores",""))</f>
        <v>Papel para impresión de computadores</v>
      </c>
      <c r="C838" s="35" t="str">
        <f>IFERROR(VLOOKUP("RESMA",'[1]Informacion '!P:Q,2,FALSE),"")</f>
        <v>Resma</v>
      </c>
      <c r="D838" s="33">
        <v>125</v>
      </c>
      <c r="E838" s="36">
        <v>290</v>
      </c>
      <c r="F838" s="37">
        <f t="shared" ca="1" si="20"/>
        <v>36250</v>
      </c>
    </row>
    <row r="839" spans="1:6" ht="14.1" customHeight="1" x14ac:dyDescent="0.25">
      <c r="A839" s="33" t="s">
        <v>188</v>
      </c>
      <c r="B839" s="34" t="str">
        <f ca="1">IFERROR(INDEX(UNSPSCDes,MATCH(INDIRECT(ADDRESS(ROW(),COLUMN()-1,4)),UNSPSCCode,0)),IF(INDIRECT(ADDRESS(ROW(),COLUMN()-1,4))="14111506","Papel para impresión de computadores",""))</f>
        <v>Papel para impresión de computadores</v>
      </c>
      <c r="C839" s="35" t="str">
        <f>IFERROR(VLOOKUP("RESMA",'[1]Informacion '!P:Q,2,FALSE),"")</f>
        <v>Resma</v>
      </c>
      <c r="D839" s="33">
        <v>50</v>
      </c>
      <c r="E839" s="36">
        <v>275</v>
      </c>
      <c r="F839" s="37">
        <f t="shared" ca="1" si="20"/>
        <v>13750</v>
      </c>
    </row>
    <row r="840" spans="1:6" ht="14.1" customHeight="1" x14ac:dyDescent="0.25">
      <c r="A840" s="33" t="s">
        <v>189</v>
      </c>
      <c r="B840" s="34" t="str">
        <f ca="1">IFERROR(INDEX(UNSPSCDes,MATCH(INDIRECT(ADDRESS(ROW(),COLUMN()-1,4)),UNSPSCCode,0)),IF(INDIRECT(ADDRESS(ROW(),COLUMN()-1,4))="44122107","Grapas",""))</f>
        <v>Grapas</v>
      </c>
      <c r="C840" s="35" t="str">
        <f>IFERROR(VLOOKUP("CAJ",'[1]Informacion '!P:Q,2,FALSE),"")</f>
        <v>Caja</v>
      </c>
      <c r="D840" s="33">
        <v>25</v>
      </c>
      <c r="E840" s="36">
        <v>36</v>
      </c>
      <c r="F840" s="37">
        <f t="shared" ca="1" si="20"/>
        <v>900</v>
      </c>
    </row>
    <row r="841" spans="1:6" ht="14.1" customHeight="1" x14ac:dyDescent="0.25">
      <c r="A841" s="33" t="s">
        <v>180</v>
      </c>
      <c r="B841" s="34" t="str">
        <f ca="1">IFERROR(INDEX(UNSPSCDes,MATCH(INDIRECT(ADDRESS(ROW(),COLUMN()-1,4)),UNSPSCCode,0)),IF(INDIRECT(ADDRESS(ROW(),COLUMN()-1,4))="44122005","Cubiertas para revistas o libros",""))</f>
        <v>Cubiertas para revistas o libros</v>
      </c>
      <c r="C841" s="35" t="str">
        <f>IFERROR(VLOOKUP("PAQ",'[1]Informacion '!P:Q,2,FALSE),"")</f>
        <v>Paquete</v>
      </c>
      <c r="D841" s="33">
        <v>20</v>
      </c>
      <c r="E841" s="36">
        <v>325</v>
      </c>
      <c r="F841" s="37">
        <f t="shared" ca="1" si="20"/>
        <v>6500</v>
      </c>
    </row>
    <row r="842" spans="1:6" ht="14.1" customHeight="1" x14ac:dyDescent="0.25">
      <c r="A842" s="33" t="s">
        <v>182</v>
      </c>
      <c r="B842" s="34" t="str">
        <f ca="1">IFERROR(INDEX(UNSPSCDes,MATCH(INDIRECT(ADDRESS(ROW(),COLUMN()-1,4)),UNSPSCCode,0)),IF(INDIRECT(ADDRESS(ROW(),COLUMN()-1,4))="44122104","Clips para papel",""))</f>
        <v>Clips para papel</v>
      </c>
      <c r="C842" s="35" t="str">
        <f>IFERROR(VLOOKUP("CAJ",'[1]Informacion '!P:Q,2,FALSE),"")</f>
        <v>Caja</v>
      </c>
      <c r="D842" s="33">
        <v>100</v>
      </c>
      <c r="E842" s="36">
        <v>120</v>
      </c>
      <c r="F842" s="37">
        <f t="shared" ca="1" si="20"/>
        <v>12000</v>
      </c>
    </row>
    <row r="843" spans="1:6" ht="14.1" customHeight="1" x14ac:dyDescent="0.25">
      <c r="A843" s="33" t="s">
        <v>190</v>
      </c>
      <c r="B843" s="34" t="str">
        <f ca="1">IFERROR(INDEX(UNSPSCDes,MATCH(INDIRECT(ADDRESS(ROW(),COLUMN()-1,4)),UNSPSCCode,0)),IF(INDIRECT(ADDRESS(ROW(),COLUMN()-1,4))="44121701","Bolígrafos",""))</f>
        <v>Bolígrafos</v>
      </c>
      <c r="C843" s="35" t="str">
        <f>IFERROR(VLOOKUP("CAJ",'[1]Informacion '!P:Q,2,FALSE),"")</f>
        <v>Caja</v>
      </c>
      <c r="D843" s="33">
        <v>10</v>
      </c>
      <c r="E843" s="36">
        <v>155</v>
      </c>
      <c r="F843" s="37">
        <f t="shared" ca="1" si="20"/>
        <v>1550</v>
      </c>
    </row>
    <row r="844" spans="1:6" ht="14.1" customHeight="1" x14ac:dyDescent="0.25">
      <c r="A844" s="33" t="s">
        <v>191</v>
      </c>
      <c r="B844" s="34" t="str">
        <f ca="1">IFERROR(INDEX(UNSPSCDes,MATCH(INDIRECT(ADDRESS(ROW(),COLUMN()-1,4)),UNSPSCCode,0)),IF(INDIRECT(ADDRESS(ROW(),COLUMN()-1,4))="41111604","Reglas",""))</f>
        <v>Reglas</v>
      </c>
      <c r="C844" s="35" t="str">
        <f>IFERROR(VLOOKUP("UD",'[1]Informacion '!P:Q,2,FALSE),"")</f>
        <v>Unidad</v>
      </c>
      <c r="D844" s="33">
        <v>50</v>
      </c>
      <c r="E844" s="36">
        <v>7</v>
      </c>
      <c r="F844" s="37">
        <f t="shared" ca="1" si="20"/>
        <v>350</v>
      </c>
    </row>
    <row r="845" spans="1:6" ht="14.1" customHeight="1" x14ac:dyDescent="0.25">
      <c r="A845" s="33" t="s">
        <v>190</v>
      </c>
      <c r="B845" s="34" t="str">
        <f ca="1">IFERROR(INDEX(UNSPSCDes,MATCH(INDIRECT(ADDRESS(ROW(),COLUMN()-1,4)),UNSPSCCode,0)),IF(INDIRECT(ADDRESS(ROW(),COLUMN()-1,4))="44121701","Bolígrafos",""))</f>
        <v>Bolígrafos</v>
      </c>
      <c r="C845" s="35" t="str">
        <f>IFERROR(VLOOKUP("CAJ",'[1]Informacion '!P:Q,2,FALSE),"")</f>
        <v>Caja</v>
      </c>
      <c r="D845" s="33">
        <v>4</v>
      </c>
      <c r="E845" s="36">
        <v>225</v>
      </c>
      <c r="F845" s="37">
        <f t="shared" ca="1" si="20"/>
        <v>900</v>
      </c>
    </row>
    <row r="846" spans="1:6" ht="14.1" customHeight="1" x14ac:dyDescent="0.25">
      <c r="A846" s="33" t="s">
        <v>147</v>
      </c>
      <c r="B846" s="34" t="str">
        <f ca="1">IFERROR(INDEX(UNSPSCDes,MATCH(INDIRECT(ADDRESS(ROW(),COLUMN()-1,4)),UNSPSCCode,0)),IF(INDIRECT(ADDRESS(ROW(),COLUMN()-1,4))="31201610","Pegamentos",""))</f>
        <v>Pegamentos</v>
      </c>
      <c r="C846" s="35" t="str">
        <f>IFERROR(VLOOKUP("UD",'[1]Informacion '!P:Q,2,FALSE),"")</f>
        <v>Unidad</v>
      </c>
      <c r="D846" s="33">
        <v>24</v>
      </c>
      <c r="E846" s="36">
        <v>92.4</v>
      </c>
      <c r="F846" s="37">
        <f t="shared" ca="1" si="20"/>
        <v>2217.6000000000004</v>
      </c>
    </row>
    <row r="847" spans="1:6" ht="14.1" customHeight="1" x14ac:dyDescent="0.25">
      <c r="A847" s="33" t="s">
        <v>147</v>
      </c>
      <c r="B847" s="34" t="str">
        <f ca="1">IFERROR(INDEX(UNSPSCDes,MATCH(INDIRECT(ADDRESS(ROW(),COLUMN()-1,4)),UNSPSCCode,0)),IF(INDIRECT(ADDRESS(ROW(),COLUMN()-1,4))="31201610","Pegamentos",""))</f>
        <v>Pegamentos</v>
      </c>
      <c r="C847" s="35" t="str">
        <f>IFERROR(VLOOKUP("CAJ",'[1]Informacion '!P:Q,2,FALSE),"")</f>
        <v>Caja</v>
      </c>
      <c r="D847" s="33">
        <v>10</v>
      </c>
      <c r="E847" s="36">
        <v>640</v>
      </c>
      <c r="F847" s="37">
        <f t="shared" ca="1" si="20"/>
        <v>6400</v>
      </c>
    </row>
    <row r="848" spans="1:6" ht="14.1" customHeight="1" x14ac:dyDescent="0.25">
      <c r="A848" s="33" t="s">
        <v>192</v>
      </c>
      <c r="B848" s="34" t="str">
        <f ca="1">IFERROR(INDEX(UNSPSCDes,MATCH(INDIRECT(ADDRESS(ROW(),COLUMN()-1,4)),UNSPSCCode,0)),IF(INDIRECT(ADDRESS(ROW(),COLUMN()-1,4))="14111537","Etiquetas de papel",""))</f>
        <v>Etiquetas de papel</v>
      </c>
      <c r="C848" s="35" t="str">
        <f>IFERROR(VLOOKUP("CAJ",'[1]Informacion '!P:Q,2,FALSE),"")</f>
        <v>Caja</v>
      </c>
      <c r="D848" s="33">
        <v>2</v>
      </c>
      <c r="E848" s="36">
        <v>555</v>
      </c>
      <c r="F848" s="37">
        <f t="shared" ca="1" si="20"/>
        <v>1110</v>
      </c>
    </row>
    <row r="849" spans="1:6" ht="14.1" customHeight="1" x14ac:dyDescent="0.25">
      <c r="A849" s="33" t="s">
        <v>192</v>
      </c>
      <c r="B849" s="34" t="str">
        <f ca="1">IFERROR(INDEX(UNSPSCDes,MATCH(INDIRECT(ADDRESS(ROW(),COLUMN()-1,4)),UNSPSCCode,0)),IF(INDIRECT(ADDRESS(ROW(),COLUMN()-1,4))="14111537","Etiquetas de papel",""))</f>
        <v>Etiquetas de papel</v>
      </c>
      <c r="C849" s="35" t="str">
        <f>IFERROR(VLOOKUP("CAJ",'[1]Informacion '!P:Q,2,FALSE),"")</f>
        <v>Caja</v>
      </c>
      <c r="D849" s="33">
        <v>2</v>
      </c>
      <c r="E849" s="36">
        <v>955</v>
      </c>
      <c r="F849" s="37">
        <f t="shared" ca="1" si="20"/>
        <v>1910</v>
      </c>
    </row>
    <row r="850" spans="1:6" ht="14.1" customHeight="1" x14ac:dyDescent="0.25">
      <c r="A850" s="33" t="s">
        <v>193</v>
      </c>
      <c r="B850" s="34" t="str">
        <f ca="1">IFERROR(INDEX(UNSPSCDes,MATCH(INDIRECT(ADDRESS(ROW(),COLUMN()-1,4)),UNSPSCCode,0)),IF(INDIRECT(ADDRESS(ROW(),COLUMN()-1,4))="60103107","Bandas elásticas para tableros geométricos",""))</f>
        <v>Bandas elásticas para tableros geométricos</v>
      </c>
      <c r="C850" s="35" t="str">
        <f>IFERROR(VLOOKUP("CAJ",'[1]Informacion '!P:Q,2,FALSE),"")</f>
        <v>Caja</v>
      </c>
      <c r="D850" s="33">
        <v>50</v>
      </c>
      <c r="E850" s="36">
        <v>30</v>
      </c>
      <c r="F850" s="37">
        <f t="shared" ca="1" si="20"/>
        <v>1500</v>
      </c>
    </row>
    <row r="851" spans="1:6" ht="14.1" customHeight="1" x14ac:dyDescent="0.25">
      <c r="A851" s="33" t="s">
        <v>194</v>
      </c>
      <c r="B851" s="34" t="str">
        <f ca="1">IFERROR(INDEX(UNSPSCDes,MATCH(INDIRECT(ADDRESS(ROW(),COLUMN()-1,4)),UNSPSCCode,0)),IF(INDIRECT(ADDRESS(ROW(),COLUMN()-1,4))="14111531","Papel libros o cuadernos para bitácoras",""))</f>
        <v>Papel libros o cuadernos para bitácoras</v>
      </c>
      <c r="C851" s="35" t="str">
        <f>IFERROR(VLOOKUP("UD",'[1]Informacion '!P:Q,2,FALSE),"")</f>
        <v>Unidad</v>
      </c>
      <c r="D851" s="33">
        <v>10</v>
      </c>
      <c r="E851" s="36">
        <v>256</v>
      </c>
      <c r="F851" s="37">
        <f t="shared" ca="1" si="20"/>
        <v>2560</v>
      </c>
    </row>
    <row r="852" spans="1:6" ht="14.1" customHeight="1" x14ac:dyDescent="0.25">
      <c r="A852" s="33" t="s">
        <v>195</v>
      </c>
      <c r="B852" s="34" t="str">
        <f ca="1">IFERROR(INDEX(UNSPSCDes,MATCH(INDIRECT(ADDRESS(ROW(),COLUMN()-1,4)),UNSPSCCode,0)),IF(INDIRECT(ADDRESS(ROW(),COLUMN()-1,4))="44112001","Libretas de direcciones o repuestos",""))</f>
        <v>Libretas de direcciones o repuestos</v>
      </c>
      <c r="C852" s="35" t="str">
        <f>IFERROR(VLOOKUP("CAJ",'[1]Informacion '!P:Q,2,FALSE),"")</f>
        <v>Caja</v>
      </c>
      <c r="D852" s="33">
        <v>48</v>
      </c>
      <c r="E852" s="36">
        <v>18.38</v>
      </c>
      <c r="F852" s="37">
        <f t="shared" ca="1" si="20"/>
        <v>882.24</v>
      </c>
    </row>
    <row r="853" spans="1:6" ht="14.1" customHeight="1" x14ac:dyDescent="0.25">
      <c r="A853" s="33" t="s">
        <v>196</v>
      </c>
      <c r="B853" s="34" t="str">
        <f ca="1">IFERROR(INDEX(UNSPSCDes,MATCH(INDIRECT(ADDRESS(ROW(),COLUMN()-1,4)),UNSPSCCode,0)),IF(INDIRECT(ADDRESS(ROW(),COLUMN()-1,4))="44112005","Libretas de citas o repuestos",""))</f>
        <v>Libretas de citas o repuestos</v>
      </c>
      <c r="C853" s="35" t="str">
        <f>IFERROR(VLOOKUP("UD",'[1]Informacion '!P:Q,2,FALSE),"")</f>
        <v>Unidad</v>
      </c>
      <c r="D853" s="33">
        <v>30</v>
      </c>
      <c r="E853" s="36">
        <v>181</v>
      </c>
      <c r="F853" s="37">
        <f t="shared" ca="1" si="20"/>
        <v>5430</v>
      </c>
    </row>
    <row r="854" spans="1:6" ht="14.1" customHeight="1" x14ac:dyDescent="0.25">
      <c r="A854" s="33" t="s">
        <v>197</v>
      </c>
      <c r="B854" s="34" t="str">
        <f ca="1">IFERROR(INDEX(UNSPSCDes,MATCH(INDIRECT(ADDRESS(ROW(),COLUMN()-1,4)),UNSPSCCode,0)),IF(INDIRECT(ADDRESS(ROW(),COLUMN()-1,4))="44111513","Soportes para diarios o calendarios",""))</f>
        <v>Soportes para diarios o calendarios</v>
      </c>
      <c r="C854" s="35" t="str">
        <f>IFERROR(VLOOKUP("UD",'[1]Informacion '!P:Q,2,FALSE),"")</f>
        <v>Unidad</v>
      </c>
      <c r="D854" s="33">
        <v>10</v>
      </c>
      <c r="E854" s="36">
        <v>130</v>
      </c>
      <c r="F854" s="37">
        <f t="shared" ca="1" si="20"/>
        <v>1300</v>
      </c>
    </row>
    <row r="855" spans="1:6" ht="14.1" customHeight="1" x14ac:dyDescent="0.25">
      <c r="A855" s="33" t="s">
        <v>198</v>
      </c>
      <c r="B855" s="34" t="str">
        <f ca="1">IFERROR(INDEX(UNSPSCDes,MATCH(INDIRECT(ADDRESS(ROW(),COLUMN()-1,4)),UNSPSCCode,0)),IF(INDIRECT(ADDRESS(ROW(),COLUMN()-1,4))="14111530","Papel de notas autoadhesivas",""))</f>
        <v>Papel de notas autoadhesivas</v>
      </c>
      <c r="C855" s="35" t="str">
        <f>IFERROR(VLOOKUP("UD",'[1]Informacion '!P:Q,2,FALSE),"")</f>
        <v>Unidad</v>
      </c>
      <c r="D855" s="33">
        <v>80</v>
      </c>
      <c r="E855" s="36">
        <v>17</v>
      </c>
      <c r="F855" s="37">
        <f t="shared" ca="1" si="20"/>
        <v>1360</v>
      </c>
    </row>
    <row r="856" spans="1:6" ht="14.1" customHeight="1" x14ac:dyDescent="0.25">
      <c r="A856" s="33" t="s">
        <v>199</v>
      </c>
      <c r="B856" s="34" t="str">
        <f ca="1">IFERROR(INDEX(UNSPSCDes,MATCH(INDIRECT(ADDRESS(ROW(),COLUMN()-1,4)),UNSPSCCode,0)),IF(INDIRECT(ADDRESS(ROW(),COLUMN()-1,4))="44122011","Folders",""))</f>
        <v>Folders</v>
      </c>
      <c r="C856" s="35" t="str">
        <f>IFERROR(VLOOKUP("CAJ",'[1]Informacion '!P:Q,2,FALSE),"")</f>
        <v>Caja</v>
      </c>
      <c r="D856" s="33">
        <v>50</v>
      </c>
      <c r="E856" s="36">
        <v>238</v>
      </c>
      <c r="F856" s="37">
        <f t="shared" ca="1" si="20"/>
        <v>11900</v>
      </c>
    </row>
    <row r="857" spans="1:6" ht="14.1" customHeight="1" x14ac:dyDescent="0.25">
      <c r="A857" s="33" t="s">
        <v>199</v>
      </c>
      <c r="B857" s="34" t="str">
        <f ca="1">IFERROR(INDEX(UNSPSCDes,MATCH(INDIRECT(ADDRESS(ROW(),COLUMN()-1,4)),UNSPSCCode,0)),IF(INDIRECT(ADDRESS(ROW(),COLUMN()-1,4))="44122011","Folders",""))</f>
        <v>Folders</v>
      </c>
      <c r="C857" s="35" t="str">
        <f>IFERROR(VLOOKUP("CAJ",'[1]Informacion '!P:Q,2,FALSE),"")</f>
        <v>Caja</v>
      </c>
      <c r="D857" s="33">
        <v>10</v>
      </c>
      <c r="E857" s="36">
        <v>350</v>
      </c>
      <c r="F857" s="37">
        <f t="shared" ca="1" si="20"/>
        <v>3500</v>
      </c>
    </row>
    <row r="858" spans="1:6" ht="14.1" customHeight="1" x14ac:dyDescent="0.25">
      <c r="A858" s="33" t="s">
        <v>200</v>
      </c>
      <c r="B858" s="34" t="str">
        <f ca="1">IFERROR(INDEX(UNSPSCDes,MATCH(INDIRECT(ADDRESS(ROW(),COLUMN()-1,4)),UNSPSCCode,0)),IF(INDIRECT(ADDRESS(ROW(),COLUMN()-1,4))="44122017","Folders de colgar o accesorios",""))</f>
        <v>Folders de colgar o accesorios</v>
      </c>
      <c r="C858" s="35" t="str">
        <f>IFERROR(VLOOKUP("CAJ",'[1]Informacion '!P:Q,2,FALSE),"")</f>
        <v>Caja</v>
      </c>
      <c r="D858" s="33">
        <v>8</v>
      </c>
      <c r="E858" s="36">
        <v>534</v>
      </c>
      <c r="F858" s="37">
        <f t="shared" ca="1" si="20"/>
        <v>4272</v>
      </c>
    </row>
    <row r="859" spans="1:6" ht="14.1" customHeight="1" x14ac:dyDescent="0.25">
      <c r="A859" s="33" t="s">
        <v>201</v>
      </c>
      <c r="B859" s="34" t="str">
        <f ca="1">IFERROR(INDEX(UNSPSCDes,MATCH(INDIRECT(ADDRESS(ROW(),COLUMN()-1,4)),UNSPSCCode,0)),IF(INDIRECT(ADDRESS(ROW(),COLUMN()-1,4))="14111527","Papel autocopiante",""))</f>
        <v>Papel autocopiante</v>
      </c>
      <c r="C859" s="35" t="str">
        <f>IFERROR(VLOOKUP("UD",'[1]Informacion '!P:Q,2,FALSE),"")</f>
        <v>Unidad</v>
      </c>
      <c r="D859" s="33">
        <v>100</v>
      </c>
      <c r="E859" s="36">
        <v>50</v>
      </c>
      <c r="F859" s="37">
        <f t="shared" ca="1" si="20"/>
        <v>5000</v>
      </c>
    </row>
    <row r="860" spans="1:6" ht="14.1" customHeight="1" x14ac:dyDescent="0.25">
      <c r="A860" s="33" t="s">
        <v>202</v>
      </c>
      <c r="B860" s="34" t="str">
        <f ca="1">IFERROR(INDEX(UNSPSCDes,MATCH(INDIRECT(ADDRESS(ROW(),COLUMN()-1,4)),UNSPSCCode,0)),IF(INDIRECT(ADDRESS(ROW(),COLUMN()-1,4))="14111515","Papel para sumadora o máquina registradora",""))</f>
        <v>Papel para sumadora o máquina registradora</v>
      </c>
      <c r="C860" s="35" t="str">
        <f>IFERROR(VLOOKUP("UD",'[1]Informacion '!P:Q,2,FALSE),"")</f>
        <v>Unidad</v>
      </c>
      <c r="D860" s="33">
        <v>125</v>
      </c>
      <c r="E860" s="36">
        <v>18</v>
      </c>
      <c r="F860" s="37">
        <f t="shared" ca="1" si="20"/>
        <v>2250</v>
      </c>
    </row>
    <row r="861" spans="1:6" ht="14.1" customHeight="1" x14ac:dyDescent="0.25">
      <c r="A861" s="33" t="s">
        <v>203</v>
      </c>
      <c r="B861" s="34" t="str">
        <f ca="1">IFERROR(INDEX(UNSPSCDes,MATCH(INDIRECT(ADDRESS(ROW(),COLUMN()-1,4)),UNSPSCCode,0)),IF(INDIRECT(ADDRESS(ROW(),COLUMN()-1,4))="43211802","Almohadillas (pads) para mouse",""))</f>
        <v>Almohadillas (pads) para mouse</v>
      </c>
      <c r="C861" s="35" t="str">
        <f>IFERROR(VLOOKUP("UD",'[1]Informacion '!P:Q,2,FALSE),"")</f>
        <v>Unidad</v>
      </c>
      <c r="D861" s="33">
        <v>20</v>
      </c>
      <c r="E861" s="36">
        <v>83</v>
      </c>
      <c r="F861" s="37">
        <f t="shared" ca="1" si="20"/>
        <v>1660</v>
      </c>
    </row>
    <row r="862" spans="1:6" ht="14.1" customHeight="1" x14ac:dyDescent="0.25">
      <c r="A862" s="33" t="s">
        <v>204</v>
      </c>
      <c r="B862" s="34" t="str">
        <f ca="1">IFERROR(INDEX(UNSPSCDes,MATCH(INDIRECT(ADDRESS(ROW(),COLUMN()-1,4)),UNSPSCCode,0)),IF(INDIRECT(ADDRESS(ROW(),COLUMN()-1,4))="43211708","Mouse o bola de seguimiento para computador",""))</f>
        <v>Mouse o bola de seguimiento para computador</v>
      </c>
      <c r="C862" s="35" t="str">
        <f>IFERROR(VLOOKUP("UD",'[1]Informacion '!P:Q,2,FALSE),"")</f>
        <v>Unidad</v>
      </c>
      <c r="D862" s="33">
        <v>10</v>
      </c>
      <c r="E862" s="36">
        <v>300</v>
      </c>
      <c r="F862" s="37">
        <f t="shared" ca="1" si="20"/>
        <v>3000</v>
      </c>
    </row>
    <row r="863" spans="1:6" ht="14.1" customHeight="1" x14ac:dyDescent="0.25">
      <c r="A863" s="33" t="s">
        <v>205</v>
      </c>
      <c r="B863" s="34" t="str">
        <f ca="1">IFERROR(INDEX(UNSPSCDes,MATCH(INDIRECT(ADDRESS(ROW(),COLUMN()-1,4)),UNSPSCCode,0)),IF(INDIRECT(ADDRESS(ROW(),COLUMN()-1,4))="43211706","Teclados",""))</f>
        <v>Teclados</v>
      </c>
      <c r="C863" s="35" t="str">
        <f>IFERROR(VLOOKUP("UD",'[1]Informacion '!P:Q,2,FALSE),"")</f>
        <v>Unidad</v>
      </c>
      <c r="D863" s="33">
        <v>5</v>
      </c>
      <c r="E863" s="36">
        <v>1600</v>
      </c>
      <c r="F863" s="37">
        <f t="shared" ca="1" si="20"/>
        <v>8000</v>
      </c>
    </row>
    <row r="864" spans="1:6" ht="14.1" customHeight="1" x14ac:dyDescent="0.25">
      <c r="A864" s="33" t="s">
        <v>206</v>
      </c>
      <c r="B864" s="34" t="str">
        <f ca="1">IFERROR(INDEX(UNSPSCDes,MATCH(INDIRECT(ADDRESS(ROW(),COLUMN()-1,4)),UNSPSCCode,0)),IF(INDIRECT(ADDRESS(ROW(),COLUMN()-1,4))="44122003","Carpetas",""))</f>
        <v>Carpetas</v>
      </c>
      <c r="C864" s="35" t="str">
        <f>IFERROR(VLOOKUP("UD",'[1]Informacion '!P:Q,2,FALSE),"")</f>
        <v>Unidad</v>
      </c>
      <c r="D864" s="33">
        <v>50</v>
      </c>
      <c r="E864" s="36">
        <v>350</v>
      </c>
      <c r="F864" s="37">
        <f t="shared" ca="1" si="20"/>
        <v>17500</v>
      </c>
    </row>
    <row r="865" spans="1:6" ht="14.1" customHeight="1" x14ac:dyDescent="0.25">
      <c r="A865" s="33" t="s">
        <v>206</v>
      </c>
      <c r="B865" s="34" t="str">
        <f ca="1">IFERROR(INDEX(UNSPSCDes,MATCH(INDIRECT(ADDRESS(ROW(),COLUMN()-1,4)),UNSPSCCode,0)),IF(INDIRECT(ADDRESS(ROW(),COLUMN()-1,4))="44122003","Carpetas",""))</f>
        <v>Carpetas</v>
      </c>
      <c r="C865" s="35" t="str">
        <f>IFERROR(VLOOKUP("UD",'[1]Informacion '!P:Q,2,FALSE),"")</f>
        <v>Unidad</v>
      </c>
      <c r="D865" s="33">
        <v>50</v>
      </c>
      <c r="E865" s="36">
        <v>505</v>
      </c>
      <c r="F865" s="37">
        <f t="shared" ca="1" si="20"/>
        <v>25250</v>
      </c>
    </row>
    <row r="866" spans="1:6" ht="14.1" customHeight="1" x14ac:dyDescent="0.25">
      <c r="A866" s="33" t="s">
        <v>206</v>
      </c>
      <c r="B866" s="34" t="str">
        <f ca="1">IFERROR(INDEX(UNSPSCDes,MATCH(INDIRECT(ADDRESS(ROW(),COLUMN()-1,4)),UNSPSCCode,0)),IF(INDIRECT(ADDRESS(ROW(),COLUMN()-1,4))="44122003","Carpetas",""))</f>
        <v>Carpetas</v>
      </c>
      <c r="C866" s="35" t="str">
        <f>IFERROR(VLOOKUP("UD",'[1]Informacion '!P:Q,2,FALSE),"")</f>
        <v>Unidad</v>
      </c>
      <c r="D866" s="33">
        <v>80</v>
      </c>
      <c r="E866" s="36">
        <v>630</v>
      </c>
      <c r="F866" s="37">
        <f t="shared" ca="1" si="20"/>
        <v>50400</v>
      </c>
    </row>
    <row r="867" spans="1:6" ht="14.1" customHeight="1" x14ac:dyDescent="0.25">
      <c r="A867" s="33" t="s">
        <v>207</v>
      </c>
      <c r="B867" s="34" t="str">
        <f ca="1">IFERROR(INDEX(UNSPSCDes,MATCH(INDIRECT(ADDRESS(ROW(),COLUMN()-1,4)),UNSPSCCode,0)),IF(INDIRECT(ADDRESS(ROW(),COLUMN()-1,4))="44121708","Marcadores",""))</f>
        <v>Marcadores</v>
      </c>
      <c r="C867" s="35" t="str">
        <f>IFERROR(VLOOKUP("UD",'[1]Informacion '!P:Q,2,FALSE),"")</f>
        <v>Unidad</v>
      </c>
      <c r="D867" s="33">
        <v>36</v>
      </c>
      <c r="E867" s="36">
        <v>25</v>
      </c>
      <c r="F867" s="37">
        <f t="shared" ca="1" si="20"/>
        <v>900</v>
      </c>
    </row>
    <row r="868" spans="1:6" ht="14.1" customHeight="1" x14ac:dyDescent="0.25">
      <c r="A868" s="33" t="s">
        <v>208</v>
      </c>
      <c r="B868" s="34" t="str">
        <f ca="1">IFERROR(INDEX(UNSPSCDes,MATCH(INDIRECT(ADDRESS(ROW(),COLUMN()-1,4)),UNSPSCCode,0)),IF(INDIRECT(ADDRESS(ROW(),COLUMN()-1,4))="44111503","Organizadores o bandejas para el escritorio",""))</f>
        <v>Organizadores o bandejas para el escritorio</v>
      </c>
      <c r="C868" s="35" t="str">
        <f>IFERROR(VLOOKUP("UD",'[1]Informacion '!P:Q,2,FALSE),"")</f>
        <v>Unidad</v>
      </c>
      <c r="D868" s="33">
        <v>24</v>
      </c>
      <c r="E868" s="36">
        <v>580</v>
      </c>
      <c r="F868" s="37">
        <f t="shared" ca="1" si="20"/>
        <v>13920</v>
      </c>
    </row>
    <row r="869" spans="1:6" ht="14.1" customHeight="1" x14ac:dyDescent="0.25">
      <c r="A869" s="33" t="s">
        <v>209</v>
      </c>
      <c r="B869" s="34" t="str">
        <f ca="1">IFERROR(INDEX(UNSPSCDes,MATCH(INDIRECT(ADDRESS(ROW(),COLUMN()-1,4)),UNSPSCCode,0)),IF(INDIRECT(ADDRESS(ROW(),COLUMN()-1,4))="44103112","Cinta de impresora",""))</f>
        <v>Cinta de impresora</v>
      </c>
      <c r="C869" s="35" t="str">
        <f>IFERROR(VLOOKUP("UD",'[1]Informacion '!P:Q,2,FALSE),"")</f>
        <v>Unidad</v>
      </c>
      <c r="D869" s="33">
        <v>10</v>
      </c>
      <c r="E869" s="36">
        <v>1900</v>
      </c>
      <c r="F869" s="37">
        <f t="shared" ca="1" si="20"/>
        <v>19000</v>
      </c>
    </row>
    <row r="870" spans="1:6" ht="14.1" customHeight="1" x14ac:dyDescent="0.25">
      <c r="A870" s="33" t="s">
        <v>210</v>
      </c>
      <c r="B870" s="34" t="str">
        <f ca="1">IFERROR(INDEX(UNSPSCDes,MATCH(INDIRECT(ADDRESS(ROW(),COLUMN()-1,4)),UNSPSCCode,0)),IF(INDIRECT(ADDRESS(ROW(),COLUMN()-1,4))="44102606","Cinta de máquinas de escribir",""))</f>
        <v>Cinta de máquinas de escribir</v>
      </c>
      <c r="C870" s="35" t="str">
        <f>IFERROR(VLOOKUP("UD",'[1]Informacion '!P:Q,2,FALSE),"")</f>
        <v>Unidad</v>
      </c>
      <c r="D870" s="33">
        <v>30</v>
      </c>
      <c r="E870" s="36">
        <v>60</v>
      </c>
      <c r="F870" s="37">
        <f t="shared" ca="1" si="20"/>
        <v>1800</v>
      </c>
    </row>
    <row r="871" spans="1:6" ht="14.1" customHeight="1" x14ac:dyDescent="0.25">
      <c r="A871" s="33" t="s">
        <v>211</v>
      </c>
      <c r="B871" s="34" t="str">
        <f ca="1">IFERROR(INDEX(UNSPSCDes,MATCH(INDIRECT(ADDRESS(ROW(),COLUMN()-1,4)),UNSPSCCode,0)),IF(INDIRECT(ADDRESS(ROW(),COLUMN()-1,4))="31201512","Cinta transparente",""))</f>
        <v>Cinta transparente</v>
      </c>
      <c r="C871" s="35" t="str">
        <f>IFERROR(VLOOKUP("UD",'[1]Informacion '!P:Q,2,FALSE),"")</f>
        <v>Unidad</v>
      </c>
      <c r="D871" s="33">
        <v>40</v>
      </c>
      <c r="E871" s="36">
        <v>72</v>
      </c>
      <c r="F871" s="37">
        <f t="shared" ca="1" si="20"/>
        <v>2880</v>
      </c>
    </row>
    <row r="872" spans="1:6" ht="14.1" customHeight="1" x14ac:dyDescent="0.25">
      <c r="A872" s="33" t="s">
        <v>212</v>
      </c>
      <c r="B872" s="34" t="str">
        <f ca="1">IFERROR(INDEX(UNSPSCDes,MATCH(INDIRECT(ADDRESS(ROW(),COLUMN()-1,4)),UNSPSCCode,0)),IF(INDIRECT(ADDRESS(ROW(),COLUMN()-1,4))="44121605","Dispensadores de cinta",""))</f>
        <v>Dispensadores de cinta</v>
      </c>
      <c r="C872" s="35" t="str">
        <f>IFERROR(VLOOKUP("UD",'[1]Informacion '!P:Q,2,FALSE),"")</f>
        <v>Unidad</v>
      </c>
      <c r="D872" s="33">
        <v>10</v>
      </c>
      <c r="E872" s="36">
        <v>95</v>
      </c>
      <c r="F872" s="37">
        <f t="shared" ca="1" si="20"/>
        <v>950</v>
      </c>
    </row>
    <row r="873" spans="1:6" ht="14.1" customHeight="1" x14ac:dyDescent="0.25">
      <c r="A873" s="33" t="s">
        <v>213</v>
      </c>
      <c r="B873" s="34" t="str">
        <f ca="1">IFERROR(INDEX(UNSPSCDes,MATCH(INDIRECT(ADDRESS(ROW(),COLUMN()-1,4)),UNSPSCCode,0)),IF(INDIRECT(ADDRESS(ROW(),COLUMN()-1,4))="44121628","Contenedores o dispensadores de clips",""))</f>
        <v>Contenedores o dispensadores de clips</v>
      </c>
      <c r="C873" s="35" t="str">
        <f>IFERROR(VLOOKUP("UD",'[1]Informacion '!P:Q,2,FALSE),"")</f>
        <v>Unidad</v>
      </c>
      <c r="D873" s="33">
        <v>15</v>
      </c>
      <c r="E873" s="36">
        <v>33</v>
      </c>
      <c r="F873" s="37">
        <f t="shared" ca="1" si="20"/>
        <v>495</v>
      </c>
    </row>
    <row r="874" spans="1:6" ht="14.1" customHeight="1" x14ac:dyDescent="0.25">
      <c r="A874" s="33" t="s">
        <v>214</v>
      </c>
      <c r="B874" s="34" t="str">
        <f ca="1">IFERROR(INDEX(UNSPSCDes,MATCH(INDIRECT(ADDRESS(ROW(),COLUMN()-1,4)),UNSPSCCode,0)),IF(INDIRECT(ADDRESS(ROW(),COLUMN()-1,4))="44121904","Repuestos de tinta",""))</f>
        <v>Repuestos de tinta</v>
      </c>
      <c r="C874" s="35" t="str">
        <f>IFERROR(VLOOKUP("UD",'[1]Informacion '!P:Q,2,FALSE),"")</f>
        <v>Unidad</v>
      </c>
      <c r="D874" s="33">
        <v>5</v>
      </c>
      <c r="E874" s="36">
        <v>38</v>
      </c>
      <c r="F874" s="37">
        <f t="shared" ca="1" si="20"/>
        <v>190</v>
      </c>
    </row>
    <row r="875" spans="1:6" ht="14.1" customHeight="1" x14ac:dyDescent="0.25">
      <c r="A875" s="33" t="s">
        <v>215</v>
      </c>
      <c r="B875" s="34" t="str">
        <f ca="1">IFERROR(INDEX(UNSPSCDes,MATCH(INDIRECT(ADDRESS(ROW(),COLUMN()-1,4)),UNSPSCCode,0)),IF(INDIRECT(ADDRESS(ROW(),COLUMN()-1,4))="44122016","Sujetador de documentos",""))</f>
        <v>Sujetador de documentos</v>
      </c>
      <c r="C875" s="35" t="str">
        <f>IFERROR(VLOOKUP("CAJ",'[1]Informacion '!P:Q,2,FALSE),"")</f>
        <v>Caja</v>
      </c>
      <c r="D875" s="33">
        <v>50</v>
      </c>
      <c r="E875" s="36">
        <v>65</v>
      </c>
      <c r="F875" s="37">
        <f t="shared" ca="1" si="20"/>
        <v>3250</v>
      </c>
    </row>
    <row r="876" spans="1:6" ht="14.1" customHeight="1" x14ac:dyDescent="0.25">
      <c r="A876" s="33" t="s">
        <v>216</v>
      </c>
      <c r="B876" s="34" t="str">
        <f ca="1">IFERROR(INDEX(UNSPSCDes,MATCH(INDIRECT(ADDRESS(ROW(),COLUMN()-1,4)),UNSPSCCode,0)),IF(INDIRECT(ADDRESS(ROW(),COLUMN()-1,4))="44101602","Máquinas perforadoras o para unir papel",""))</f>
        <v>Máquinas perforadoras o para unir papel</v>
      </c>
      <c r="C876" s="35" t="str">
        <f>IFERROR(VLOOKUP("UD",'[1]Informacion '!P:Q,2,FALSE),"")</f>
        <v>Unidad</v>
      </c>
      <c r="D876" s="33">
        <v>3</v>
      </c>
      <c r="E876" s="36">
        <v>3150</v>
      </c>
      <c r="F876" s="37">
        <f t="shared" ca="1" si="20"/>
        <v>9450</v>
      </c>
    </row>
    <row r="877" spans="1:6" ht="14.1" customHeight="1" x14ac:dyDescent="0.25">
      <c r="A877" s="33" t="s">
        <v>216</v>
      </c>
      <c r="B877" s="34" t="str">
        <f ca="1">IFERROR(INDEX(UNSPSCDes,MATCH(INDIRECT(ADDRESS(ROW(),COLUMN()-1,4)),UNSPSCCode,0)),IF(INDIRECT(ADDRESS(ROW(),COLUMN()-1,4))="44101602","Máquinas perforadoras o para unir papel",""))</f>
        <v>Máquinas perforadoras o para unir papel</v>
      </c>
      <c r="C877" s="35" t="str">
        <f>IFERROR(VLOOKUP("UD",'[1]Informacion '!P:Q,2,FALSE),"")</f>
        <v>Unidad</v>
      </c>
      <c r="D877" s="33">
        <v>10</v>
      </c>
      <c r="E877" s="36">
        <v>455</v>
      </c>
      <c r="F877" s="37">
        <f t="shared" ca="1" si="20"/>
        <v>4550</v>
      </c>
    </row>
    <row r="878" spans="1:6" ht="14.1" customHeight="1" x14ac:dyDescent="0.25">
      <c r="A878" s="33" t="s">
        <v>218</v>
      </c>
      <c r="B878" s="34" t="str">
        <f ca="1">IFERROR(INDEX(UNSPSCDes,MATCH(INDIRECT(ADDRESS(ROW(),COLUMN()-1,4)),UNSPSCCode,0)),IF(INDIRECT(ADDRESS(ROW(),COLUMN()-1,4))="44103504","Alambres o espirales de encuadernación",""))</f>
        <v>Alambres o espirales de encuadernación</v>
      </c>
      <c r="C878" s="35" t="str">
        <f>IFERROR(VLOOKUP("CAJ",'[1]Informacion '!P:Q,2,FALSE),"")</f>
        <v>Caja</v>
      </c>
      <c r="D878" s="33">
        <v>5</v>
      </c>
      <c r="E878" s="36">
        <v>495</v>
      </c>
      <c r="F878" s="37">
        <f t="shared" ca="1" si="20"/>
        <v>2475</v>
      </c>
    </row>
    <row r="879" spans="1:6" ht="14.1" customHeight="1" x14ac:dyDescent="0.25">
      <c r="A879" s="33" t="s">
        <v>218</v>
      </c>
      <c r="B879" s="34" t="str">
        <f ca="1">IFERROR(INDEX(UNSPSCDes,MATCH(INDIRECT(ADDRESS(ROW(),COLUMN()-1,4)),UNSPSCCode,0)),IF(INDIRECT(ADDRESS(ROW(),COLUMN()-1,4))="44103504","Alambres o espirales de encuadernación",""))</f>
        <v>Alambres o espirales de encuadernación</v>
      </c>
      <c r="C879" s="35" t="str">
        <f>IFERROR(VLOOKUP("CAJ",'[1]Informacion '!P:Q,2,FALSE),"")</f>
        <v>Caja</v>
      </c>
      <c r="D879" s="33">
        <v>5</v>
      </c>
      <c r="E879" s="36">
        <v>571</v>
      </c>
      <c r="F879" s="37">
        <f t="shared" ca="1" si="20"/>
        <v>2855</v>
      </c>
    </row>
    <row r="880" spans="1:6" ht="14.1" customHeight="1" x14ac:dyDescent="0.25">
      <c r="A880" s="33" t="s">
        <v>218</v>
      </c>
      <c r="B880" s="34" t="str">
        <f ca="1">IFERROR(INDEX(UNSPSCDes,MATCH(INDIRECT(ADDRESS(ROW(),COLUMN()-1,4)),UNSPSCCode,0)),IF(INDIRECT(ADDRESS(ROW(),COLUMN()-1,4))="44103504","Alambres o espirales de encuadernación",""))</f>
        <v>Alambres o espirales de encuadernación</v>
      </c>
      <c r="C880" s="35" t="str">
        <f>IFERROR(VLOOKUP("CAJ",'[1]Informacion '!P:Q,2,FALSE),"")</f>
        <v>Caja</v>
      </c>
      <c r="D880" s="33">
        <v>5</v>
      </c>
      <c r="E880" s="36">
        <v>368</v>
      </c>
      <c r="F880" s="37">
        <f t="shared" ca="1" si="20"/>
        <v>1840</v>
      </c>
    </row>
    <row r="881" spans="1:10" ht="14.1" customHeight="1" x14ac:dyDescent="0.25">
      <c r="A881" s="33" t="s">
        <v>194</v>
      </c>
      <c r="B881" s="34" t="str">
        <f ca="1">IFERROR(INDEX(UNSPSCDes,MATCH(INDIRECT(ADDRESS(ROW(),COLUMN()-1,4)),UNSPSCCode,0)),IF(INDIRECT(ADDRESS(ROW(),COLUMN()-1,4))="14111531","Papel libros o cuadernos para bitácoras",""))</f>
        <v>Papel libros o cuadernos para bitácoras</v>
      </c>
      <c r="C881" s="35" t="str">
        <f>IFERROR(VLOOKUP("UD",'[1]Informacion '!P:Q,2,FALSE),"")</f>
        <v>Unidad</v>
      </c>
      <c r="D881" s="33">
        <v>10</v>
      </c>
      <c r="E881" s="36">
        <v>180</v>
      </c>
      <c r="F881" s="37">
        <f t="shared" ca="1" si="20"/>
        <v>1800</v>
      </c>
    </row>
    <row r="882" spans="1:10" ht="14.1" customHeight="1" x14ac:dyDescent="0.25">
      <c r="A882" s="33" t="s">
        <v>194</v>
      </c>
      <c r="B882" s="34" t="str">
        <f ca="1">IFERROR(INDEX(UNSPSCDes,MATCH(INDIRECT(ADDRESS(ROW(),COLUMN()-1,4)),UNSPSCCode,0)),IF(INDIRECT(ADDRESS(ROW(),COLUMN()-1,4))="14111531","Papel libros o cuadernos para bitácoras",""))</f>
        <v>Papel libros o cuadernos para bitácoras</v>
      </c>
      <c r="C882" s="35" t="str">
        <f>IFERROR(VLOOKUP("UD",'[1]Informacion '!P:Q,2,FALSE),"")</f>
        <v>Unidad</v>
      </c>
      <c r="D882" s="33">
        <v>10</v>
      </c>
      <c r="E882" s="36">
        <v>170</v>
      </c>
      <c r="F882" s="37">
        <f t="shared" ca="1" si="20"/>
        <v>1700</v>
      </c>
    </row>
    <row r="883" spans="1:10" ht="14.1" customHeight="1" x14ac:dyDescent="0.25">
      <c r="A883" s="33" t="s">
        <v>199</v>
      </c>
      <c r="B883" s="34" t="str">
        <f ca="1">IFERROR(INDEX(UNSPSCDes,MATCH(INDIRECT(ADDRESS(ROW(),COLUMN()-1,4)),UNSPSCCode,0)),IF(INDIRECT(ADDRESS(ROW(),COLUMN()-1,4))="44122011","Folders",""))</f>
        <v>Folders</v>
      </c>
      <c r="C883" s="35" t="str">
        <f>IFERROR(VLOOKUP("CAJ",'[1]Informacion '!P:Q,2,FALSE),"")</f>
        <v>Caja</v>
      </c>
      <c r="D883" s="33">
        <v>20</v>
      </c>
      <c r="E883" s="36">
        <v>1200</v>
      </c>
      <c r="F883" s="37">
        <f t="shared" ca="1" si="20"/>
        <v>24000</v>
      </c>
    </row>
    <row r="884" spans="1:10" ht="14.1" customHeight="1" x14ac:dyDescent="0.25">
      <c r="A884" s="33" t="s">
        <v>219</v>
      </c>
      <c r="B884" s="34" t="str">
        <f ca="1">IFERROR(INDEX(UNSPSCDes,MATCH(INDIRECT(ADDRESS(ROW(),COLUMN()-1,4)),UNSPSCCode,0)),IF(INDIRECT(ADDRESS(ROW(),COLUMN()-1,4))="26111702","Pilas alcalinas",""))</f>
        <v>Pilas alcalinas</v>
      </c>
      <c r="C884" s="35" t="str">
        <f>IFERROR(VLOOKUP("PAQ",'[1]Informacion '!P:Q,2,FALSE),"")</f>
        <v>Paquete</v>
      </c>
      <c r="D884" s="33">
        <v>10</v>
      </c>
      <c r="E884" s="36">
        <v>35</v>
      </c>
      <c r="F884" s="37">
        <f t="shared" ca="1" si="20"/>
        <v>350</v>
      </c>
    </row>
    <row r="885" spans="1:10" ht="14.1" customHeight="1" x14ac:dyDescent="0.25">
      <c r="A885" s="33" t="s">
        <v>211</v>
      </c>
      <c r="B885" s="34" t="str">
        <f ca="1">IFERROR(INDEX(UNSPSCDes,MATCH(INDIRECT(ADDRESS(ROW(),COLUMN()-1,4)),UNSPSCCode,0)),IF(INDIRECT(ADDRESS(ROW(),COLUMN()-1,4))="31201512","Cinta transparente",""))</f>
        <v>Cinta transparente</v>
      </c>
      <c r="C885" s="35" t="str">
        <f>IFERROR(VLOOKUP("UD",'[1]Informacion '!P:Q,2,FALSE),"")</f>
        <v>Unidad</v>
      </c>
      <c r="D885" s="33">
        <v>36</v>
      </c>
      <c r="E885" s="36">
        <v>85</v>
      </c>
      <c r="F885" s="37">
        <f t="shared" ref="F885" ca="1" si="21">INDIRECT(ADDRESS(ROW(),COLUMN()-2,4))*INDIRECT(ADDRESS(ROW(),COLUMN()-1,4))</f>
        <v>3060</v>
      </c>
    </row>
    <row r="886" spans="1:10" ht="14.1" customHeight="1" x14ac:dyDescent="0.25">
      <c r="E886" s="38" t="s">
        <v>48</v>
      </c>
      <c r="F886" s="39">
        <f ca="1">SUM(Table56[MONTO TOTAL ESTIMADO])</f>
        <v>447741.83999999997</v>
      </c>
      <c r="H886" s="25" t="str">
        <f>C814</f>
        <v>Bienes</v>
      </c>
      <c r="I886" s="25" t="str">
        <f>E814</f>
        <v>Sí</v>
      </c>
      <c r="J886" s="25" t="str">
        <f>D814</f>
        <v>Compras Menores</v>
      </c>
    </row>
    <row r="887" spans="1:10" ht="14.1" customHeight="1" x14ac:dyDescent="0.25"/>
    <row r="888" spans="1:10" ht="34.15" customHeight="1" thickBot="1" x14ac:dyDescent="0.3">
      <c r="A888" s="24" t="s">
        <v>19</v>
      </c>
      <c r="B888" s="24" t="s">
        <v>20</v>
      </c>
      <c r="C888" s="24" t="s">
        <v>21</v>
      </c>
      <c r="D888" s="24" t="s">
        <v>22</v>
      </c>
      <c r="E888" s="24" t="s">
        <v>23</v>
      </c>
      <c r="F888" s="24" t="s">
        <v>24</v>
      </c>
    </row>
    <row r="889" spans="1:10" ht="14.1" customHeight="1" thickBot="1" x14ac:dyDescent="0.3">
      <c r="A889" s="26" t="s">
        <v>176</v>
      </c>
      <c r="B889" s="26" t="s">
        <v>176</v>
      </c>
      <c r="C889" s="26" t="s">
        <v>27</v>
      </c>
      <c r="D889" s="26" t="s">
        <v>28</v>
      </c>
      <c r="E889" s="26" t="s">
        <v>54</v>
      </c>
      <c r="F889" s="26"/>
    </row>
    <row r="890" spans="1:10" ht="14.1" customHeight="1" thickBot="1" x14ac:dyDescent="0.3">
      <c r="A890" s="43" t="s">
        <v>30</v>
      </c>
      <c r="B890" s="27" t="s">
        <v>31</v>
      </c>
      <c r="C890" s="28">
        <v>44743</v>
      </c>
      <c r="D890" s="43" t="s">
        <v>32</v>
      </c>
      <c r="E890" s="29" t="s">
        <v>33</v>
      </c>
      <c r="F890" s="30" t="s">
        <v>34</v>
      </c>
    </row>
    <row r="891" spans="1:10" ht="14.1" customHeight="1" thickBot="1" x14ac:dyDescent="0.3">
      <c r="A891" s="44"/>
      <c r="B891" s="27" t="s">
        <v>35</v>
      </c>
      <c r="C891" s="31">
        <f>IF(C890="","",IF(AND(MONTH(C890)&gt;=1,MONTH(C890)&lt;=3),1,IF(AND(MONTH(C890)&gt;=4,MONTH(C890)&lt;=6),2,IF(AND(MONTH(C890)&gt;=7,MONTH(C890)&lt;=9),3,4))))</f>
        <v>3</v>
      </c>
      <c r="D891" s="44"/>
      <c r="E891" s="29" t="s">
        <v>36</v>
      </c>
      <c r="F891" s="30"/>
    </row>
    <row r="892" spans="1:10" ht="14.1" customHeight="1" thickBot="1" x14ac:dyDescent="0.3">
      <c r="A892" s="44"/>
      <c r="B892" s="27" t="s">
        <v>37</v>
      </c>
      <c r="C892" s="28">
        <v>44834</v>
      </c>
      <c r="D892" s="44"/>
      <c r="E892" s="29" t="s">
        <v>38</v>
      </c>
      <c r="F892" s="30"/>
    </row>
    <row r="893" spans="1:10" ht="14.1" customHeight="1" thickBot="1" x14ac:dyDescent="0.3">
      <c r="A893" s="44"/>
      <c r="B893" s="27" t="s">
        <v>35</v>
      </c>
      <c r="C893" s="31">
        <f>IF(C892="","",IF(AND(MONTH(C892)&gt;=1,MONTH(C892)&lt;=3),1,IF(AND(MONTH(C892)&gt;=4,MONTH(C892)&lt;=6),2,IF(AND(MONTH(C892)&gt;=7,MONTH(C892)&lt;=9),3,4))))</f>
        <v>3</v>
      </c>
      <c r="D893" s="44"/>
      <c r="E893" s="29" t="s">
        <v>39</v>
      </c>
      <c r="F893" s="30"/>
    </row>
    <row r="894" spans="1:10" ht="14.1" customHeight="1" x14ac:dyDescent="0.25"/>
    <row r="895" spans="1:10" ht="14.1" customHeight="1" thickBot="1" x14ac:dyDescent="0.3">
      <c r="A895" s="32" t="s">
        <v>40</v>
      </c>
      <c r="B895" s="32" t="s">
        <v>41</v>
      </c>
      <c r="C895" s="32" t="s">
        <v>42</v>
      </c>
      <c r="D895" s="32" t="s">
        <v>43</v>
      </c>
      <c r="E895" s="32" t="s">
        <v>44</v>
      </c>
      <c r="F895" s="32" t="s">
        <v>45</v>
      </c>
    </row>
    <row r="896" spans="1:10" ht="14.1" customHeight="1" x14ac:dyDescent="0.25">
      <c r="A896" s="33" t="s">
        <v>177</v>
      </c>
      <c r="B896" s="34" t="str">
        <f ca="1">IFERROR(INDEX(UNSPSCDes,MATCH(INDIRECT(ADDRESS(ROW(),COLUMN()-1,4)),UNSPSCCode,0)),IF(INDIRECT(ADDRESS(ROW(),COLUMN()-1,4))="44121802","Fluido de corrección",""))</f>
        <v>Fluido de corrección</v>
      </c>
      <c r="C896" s="35" t="str">
        <f>IFERROR(VLOOKUP("UD",'[1]Informacion '!P:Q,2,FALSE),"")</f>
        <v>Unidad</v>
      </c>
      <c r="D896" s="33">
        <v>15</v>
      </c>
      <c r="E896" s="36">
        <v>45</v>
      </c>
      <c r="F896" s="37">
        <f t="shared" ref="F896:F959" ca="1" si="22">INDIRECT(ADDRESS(ROW(),COLUMN()-2,4))*INDIRECT(ADDRESS(ROW(),COLUMN()-1,4))</f>
        <v>675</v>
      </c>
    </row>
    <row r="897" spans="1:6" ht="14.1" customHeight="1" x14ac:dyDescent="0.25">
      <c r="A897" s="33" t="s">
        <v>178</v>
      </c>
      <c r="B897" s="34" t="str">
        <f ca="1">IFERROR(INDEX(UNSPSCDes,MATCH(INDIRECT(ADDRESS(ROW(),COLUMN()-1,4)),UNSPSCCode,0)),IF(INDIRECT(ADDRESS(ROW(),COLUMN()-1,4))="44121706","Lápices de madera",""))</f>
        <v>Lápices de madera</v>
      </c>
      <c r="C897" s="35" t="str">
        <f>IFERROR(VLOOKUP("CAJ",'[1]Informacion '!P:Q,2,FALSE),"")</f>
        <v>Caja</v>
      </c>
      <c r="D897" s="33">
        <v>50</v>
      </c>
      <c r="E897" s="36">
        <v>50</v>
      </c>
      <c r="F897" s="37">
        <f t="shared" ca="1" si="22"/>
        <v>2500</v>
      </c>
    </row>
    <row r="898" spans="1:6" ht="14.1" customHeight="1" x14ac:dyDescent="0.25">
      <c r="A898" s="33" t="s">
        <v>178</v>
      </c>
      <c r="B898" s="34" t="str">
        <f ca="1">IFERROR(INDEX(UNSPSCDes,MATCH(INDIRECT(ADDRESS(ROW(),COLUMN()-1,4)),UNSPSCCode,0)),IF(INDIRECT(ADDRESS(ROW(),COLUMN()-1,4))="44121706","Lápices de madera",""))</f>
        <v>Lápices de madera</v>
      </c>
      <c r="C898" s="35" t="str">
        <f>IFERROR(VLOOKUP("CAJ",'[1]Informacion '!P:Q,2,FALSE),"")</f>
        <v>Caja</v>
      </c>
      <c r="D898" s="33">
        <v>10</v>
      </c>
      <c r="E898" s="36">
        <v>10</v>
      </c>
      <c r="F898" s="37">
        <f t="shared" ca="1" si="22"/>
        <v>100</v>
      </c>
    </row>
    <row r="899" spans="1:6" ht="14.1" customHeight="1" x14ac:dyDescent="0.25">
      <c r="A899" s="33" t="s">
        <v>179</v>
      </c>
      <c r="B899" s="34" t="str">
        <f ca="1">IFERROR(INDEX(UNSPSCDes,MATCH(INDIRECT(ADDRESS(ROW(),COLUMN()-1,4)),UNSPSCCode,0)),IF(INDIRECT(ADDRESS(ROW(),COLUMN()-1,4))="44121716","Resaltadores",""))</f>
        <v>Resaltadores</v>
      </c>
      <c r="C899" s="35" t="str">
        <f>IFERROR(VLOOKUP("UD",'[1]Informacion '!P:Q,2,FALSE),"")</f>
        <v>Unidad</v>
      </c>
      <c r="D899" s="33">
        <v>75</v>
      </c>
      <c r="E899" s="36">
        <v>20</v>
      </c>
      <c r="F899" s="37">
        <f t="shared" ca="1" si="22"/>
        <v>1500</v>
      </c>
    </row>
    <row r="900" spans="1:6" ht="14.1" customHeight="1" x14ac:dyDescent="0.25">
      <c r="A900" s="33" t="s">
        <v>180</v>
      </c>
      <c r="B900" s="34" t="str">
        <f ca="1">IFERROR(INDEX(UNSPSCDes,MATCH(INDIRECT(ADDRESS(ROW(),COLUMN()-1,4)),UNSPSCCode,0)),IF(INDIRECT(ADDRESS(ROW(),COLUMN()-1,4))="44122005","Cubiertas para revistas o libros",""))</f>
        <v>Cubiertas para revistas o libros</v>
      </c>
      <c r="C900" s="35" t="str">
        <f>IFERROR(VLOOKUP("PAQ",'[1]Informacion '!P:Q,2,FALSE),"")</f>
        <v>Paquete</v>
      </c>
      <c r="D900" s="33">
        <v>30</v>
      </c>
      <c r="E900" s="36">
        <v>260</v>
      </c>
      <c r="F900" s="37">
        <f t="shared" ca="1" si="22"/>
        <v>7800</v>
      </c>
    </row>
    <row r="901" spans="1:6" ht="14.1" customHeight="1" x14ac:dyDescent="0.25">
      <c r="A901" s="33" t="s">
        <v>181</v>
      </c>
      <c r="B901" s="34" t="str">
        <f ca="1">IFERROR(INDEX(UNSPSCDes,MATCH(INDIRECT(ADDRESS(ROW(),COLUMN()-1,4)),UNSPSCCode,0)),IF(INDIRECT(ADDRESS(ROW(),COLUMN()-1,4))="44122010","Separadores",""))</f>
        <v>Separadores</v>
      </c>
      <c r="C901" s="35" t="str">
        <f>IFERROR(VLOOKUP("CAJ",'[1]Informacion '!P:Q,2,FALSE),"")</f>
        <v>Caja</v>
      </c>
      <c r="D901" s="33">
        <v>2</v>
      </c>
      <c r="E901" s="36">
        <v>1700</v>
      </c>
      <c r="F901" s="37">
        <f t="shared" ca="1" si="22"/>
        <v>3400</v>
      </c>
    </row>
    <row r="902" spans="1:6" ht="14.1" customHeight="1" x14ac:dyDescent="0.25">
      <c r="A902" s="33" t="s">
        <v>181</v>
      </c>
      <c r="B902" s="34" t="str">
        <f ca="1">IFERROR(INDEX(UNSPSCDes,MATCH(INDIRECT(ADDRESS(ROW(),COLUMN()-1,4)),UNSPSCCode,0)),IF(INDIRECT(ADDRESS(ROW(),COLUMN()-1,4))="44122010","Separadores",""))</f>
        <v>Separadores</v>
      </c>
      <c r="C902" s="35" t="str">
        <f>IFERROR(VLOOKUP("CAJ",'[1]Informacion '!P:Q,2,FALSE),"")</f>
        <v>Caja</v>
      </c>
      <c r="D902" s="33">
        <v>2</v>
      </c>
      <c r="E902" s="36">
        <v>1000</v>
      </c>
      <c r="F902" s="37">
        <f t="shared" ca="1" si="22"/>
        <v>2000</v>
      </c>
    </row>
    <row r="903" spans="1:6" ht="14.1" customHeight="1" x14ac:dyDescent="0.25">
      <c r="A903" s="33" t="s">
        <v>182</v>
      </c>
      <c r="B903" s="34" t="str">
        <f ca="1">IFERROR(INDEX(UNSPSCDes,MATCH(INDIRECT(ADDRESS(ROW(),COLUMN()-1,4)),UNSPSCCode,0)),IF(INDIRECT(ADDRESS(ROW(),COLUMN()-1,4))="44122104","Clips para papel",""))</f>
        <v>Clips para papel</v>
      </c>
      <c r="C903" s="35" t="str">
        <f>IFERROR(VLOOKUP("CAJ",'[1]Informacion '!P:Q,2,FALSE),"")</f>
        <v>Caja</v>
      </c>
      <c r="D903" s="33">
        <v>50</v>
      </c>
      <c r="E903" s="36">
        <v>300</v>
      </c>
      <c r="F903" s="37">
        <f t="shared" ca="1" si="22"/>
        <v>15000</v>
      </c>
    </row>
    <row r="904" spans="1:6" ht="14.1" customHeight="1" x14ac:dyDescent="0.25">
      <c r="A904" s="33" t="s">
        <v>183</v>
      </c>
      <c r="B904" s="34" t="str">
        <f ca="1">IFERROR(INDEX(UNSPSCDes,MATCH(INDIRECT(ADDRESS(ROW(),COLUMN()-1,4)),UNSPSCCode,0)),IF(INDIRECT(ADDRESS(ROW(),COLUMN()-1,4))="44121615","Grapadoras",""))</f>
        <v>Grapadoras</v>
      </c>
      <c r="C904" s="35" t="str">
        <f>IFERROR(VLOOKUP("UD",'[1]Informacion '!P:Q,2,FALSE),"")</f>
        <v>Unidad</v>
      </c>
      <c r="D904" s="33">
        <v>20</v>
      </c>
      <c r="E904" s="36">
        <v>220</v>
      </c>
      <c r="F904" s="37">
        <f t="shared" ca="1" si="22"/>
        <v>4400</v>
      </c>
    </row>
    <row r="905" spans="1:6" ht="14.1" customHeight="1" x14ac:dyDescent="0.25">
      <c r="A905" s="33" t="s">
        <v>184</v>
      </c>
      <c r="B905" s="34" t="str">
        <f ca="1">IFERROR(INDEX(UNSPSCDes,MATCH(INDIRECT(ADDRESS(ROW(),COLUMN()-1,4)),UNSPSCCode,0)),IF(INDIRECT(ADDRESS(ROW(),COLUMN()-1,4))="44121613","Removedores de grapas (saca ganchos)",""))</f>
        <v>Removedores de grapas (saca ganchos)</v>
      </c>
      <c r="C905" s="35" t="str">
        <f>IFERROR(VLOOKUP("UD",'[1]Informacion '!P:Q,2,FALSE),"")</f>
        <v>Unidad</v>
      </c>
      <c r="D905" s="33">
        <v>20</v>
      </c>
      <c r="E905" s="36">
        <v>50</v>
      </c>
      <c r="F905" s="37">
        <f t="shared" ca="1" si="22"/>
        <v>1000</v>
      </c>
    </row>
    <row r="906" spans="1:6" ht="14.1" customHeight="1" x14ac:dyDescent="0.25">
      <c r="A906" s="33" t="s">
        <v>185</v>
      </c>
      <c r="B906" s="34" t="str">
        <f ca="1">IFERROR(INDEX(UNSPSCDes,MATCH(INDIRECT(ADDRESS(ROW(),COLUMN()-1,4)),UNSPSCCode,0)),IF(INDIRECT(ADDRESS(ROW(),COLUMN()-1,4))="44122105","Clips para carpetas o bulldog",""))</f>
        <v>Clips para carpetas o bulldog</v>
      </c>
      <c r="C906" s="35" t="str">
        <f>IFERROR(VLOOKUP("CAJ",'[1]Informacion '!P:Q,2,FALSE),"")</f>
        <v>Caja</v>
      </c>
      <c r="D906" s="33">
        <v>20</v>
      </c>
      <c r="E906" s="36">
        <v>58</v>
      </c>
      <c r="F906" s="37">
        <f t="shared" ca="1" si="22"/>
        <v>1160</v>
      </c>
    </row>
    <row r="907" spans="1:6" ht="14.1" customHeight="1" x14ac:dyDescent="0.25">
      <c r="A907" s="33" t="s">
        <v>185</v>
      </c>
      <c r="B907" s="34" t="str">
        <f ca="1">IFERROR(INDEX(UNSPSCDes,MATCH(INDIRECT(ADDRESS(ROW(),COLUMN()-1,4)),UNSPSCCode,0)),IF(INDIRECT(ADDRESS(ROW(),COLUMN()-1,4))="44122105","Clips para carpetas o bulldog",""))</f>
        <v>Clips para carpetas o bulldog</v>
      </c>
      <c r="C907" s="35" t="str">
        <f>IFERROR(VLOOKUP("CAJ",'[1]Informacion '!P:Q,2,FALSE),"")</f>
        <v>Caja</v>
      </c>
      <c r="D907" s="33">
        <v>20</v>
      </c>
      <c r="E907" s="36">
        <v>70</v>
      </c>
      <c r="F907" s="37">
        <f t="shared" ca="1" si="22"/>
        <v>1400</v>
      </c>
    </row>
    <row r="908" spans="1:6" ht="14.1" customHeight="1" x14ac:dyDescent="0.25">
      <c r="A908" s="33" t="s">
        <v>185</v>
      </c>
      <c r="B908" s="34" t="str">
        <f ca="1">IFERROR(INDEX(UNSPSCDes,MATCH(INDIRECT(ADDRESS(ROW(),COLUMN()-1,4)),UNSPSCCode,0)),IF(INDIRECT(ADDRESS(ROW(),COLUMN()-1,4))="44122105","Clips para carpetas o bulldog",""))</f>
        <v>Clips para carpetas o bulldog</v>
      </c>
      <c r="C908" s="35" t="str">
        <f>IFERROR(VLOOKUP("CAJ",'[1]Informacion '!P:Q,2,FALSE),"")</f>
        <v>Caja</v>
      </c>
      <c r="D908" s="33">
        <v>20</v>
      </c>
      <c r="E908" s="36">
        <v>85</v>
      </c>
      <c r="F908" s="37">
        <f t="shared" ca="1" si="22"/>
        <v>1700</v>
      </c>
    </row>
    <row r="909" spans="1:6" ht="14.1" customHeight="1" x14ac:dyDescent="0.25">
      <c r="A909" s="33" t="s">
        <v>185</v>
      </c>
      <c r="B909" s="34" t="str">
        <f ca="1">IFERROR(INDEX(UNSPSCDes,MATCH(INDIRECT(ADDRESS(ROW(),COLUMN()-1,4)),UNSPSCCode,0)),IF(INDIRECT(ADDRESS(ROW(),COLUMN()-1,4))="44122105","Clips para carpetas o bulldog",""))</f>
        <v>Clips para carpetas o bulldog</v>
      </c>
      <c r="C909" s="35" t="str">
        <f>IFERROR(VLOOKUP("CAJ",'[1]Informacion '!P:Q,2,FALSE),"")</f>
        <v>Caja</v>
      </c>
      <c r="D909" s="33">
        <v>20</v>
      </c>
      <c r="E909" s="36">
        <v>147</v>
      </c>
      <c r="F909" s="37">
        <f t="shared" ca="1" si="22"/>
        <v>2940</v>
      </c>
    </row>
    <row r="910" spans="1:6" ht="14.1" customHeight="1" x14ac:dyDescent="0.25">
      <c r="A910" s="33" t="s">
        <v>186</v>
      </c>
      <c r="B910" s="34" t="str">
        <f ca="1">IFERROR(INDEX(UNSPSCDes,MATCH(INDIRECT(ADDRESS(ROW(),COLUMN()-1,4)),UNSPSCCode,0)),IF(INDIRECT(ADDRESS(ROW(),COLUMN()-1,4))="44121618","Tijeras",""))</f>
        <v>Tijeras</v>
      </c>
      <c r="C910" s="35" t="str">
        <f>IFERROR(VLOOKUP("UD",'[1]Informacion '!P:Q,2,FALSE),"")</f>
        <v>Unidad</v>
      </c>
      <c r="D910" s="33">
        <v>25</v>
      </c>
      <c r="E910" s="36">
        <v>28</v>
      </c>
      <c r="F910" s="37">
        <f t="shared" ca="1" si="22"/>
        <v>700</v>
      </c>
    </row>
    <row r="911" spans="1:6" ht="14.1" customHeight="1" x14ac:dyDescent="0.25">
      <c r="A911" s="33" t="s">
        <v>187</v>
      </c>
      <c r="B911" s="34" t="str">
        <f ca="1">IFERROR(INDEX(UNSPSCDes,MATCH(INDIRECT(ADDRESS(ROW(),COLUMN()-1,4)),UNSPSCCode,0)),IF(INDIRECT(ADDRESS(ROW(),COLUMN()-1,4))="12181501","Ceras sintéticas",""))</f>
        <v>Ceras sintéticas</v>
      </c>
      <c r="C911" s="35" t="str">
        <f>IFERROR(VLOOKUP("UD",'[1]Informacion '!P:Q,2,FALSE),"")</f>
        <v>Unidad</v>
      </c>
      <c r="D911" s="33">
        <v>20</v>
      </c>
      <c r="E911" s="36">
        <v>70</v>
      </c>
      <c r="F911" s="37">
        <f t="shared" ca="1" si="22"/>
        <v>1400</v>
      </c>
    </row>
    <row r="912" spans="1:6" ht="14.1" customHeight="1" x14ac:dyDescent="0.25">
      <c r="A912" s="33" t="s">
        <v>188</v>
      </c>
      <c r="B912" s="34" t="str">
        <f ca="1">IFERROR(INDEX(UNSPSCDes,MATCH(INDIRECT(ADDRESS(ROW(),COLUMN()-1,4)),UNSPSCCode,0)),IF(INDIRECT(ADDRESS(ROW(),COLUMN()-1,4))="14111506","Papel para impresión de computadores",""))</f>
        <v>Papel para impresión de computadores</v>
      </c>
      <c r="C912" s="35" t="str">
        <f>IFERROR(VLOOKUP("RESMA",'[1]Informacion '!P:Q,2,FALSE),"")</f>
        <v>Resma</v>
      </c>
      <c r="D912" s="33">
        <v>300</v>
      </c>
      <c r="E912" s="36">
        <v>250</v>
      </c>
      <c r="F912" s="37">
        <f t="shared" ca="1" si="22"/>
        <v>75000</v>
      </c>
    </row>
    <row r="913" spans="1:6" ht="14.1" customHeight="1" x14ac:dyDescent="0.25">
      <c r="A913" s="33" t="s">
        <v>188</v>
      </c>
      <c r="B913" s="34" t="str">
        <f ca="1">IFERROR(INDEX(UNSPSCDes,MATCH(INDIRECT(ADDRESS(ROW(),COLUMN()-1,4)),UNSPSCCode,0)),IF(INDIRECT(ADDRESS(ROW(),COLUMN()-1,4))="14111506","Papel para impresión de computadores",""))</f>
        <v>Papel para impresión de computadores</v>
      </c>
      <c r="C913" s="35" t="str">
        <f>IFERROR(VLOOKUP("RESMA",'[1]Informacion '!P:Q,2,FALSE),"")</f>
        <v>Resma</v>
      </c>
      <c r="D913" s="33">
        <v>125</v>
      </c>
      <c r="E913" s="36">
        <v>290</v>
      </c>
      <c r="F913" s="37">
        <f t="shared" ca="1" si="22"/>
        <v>36250</v>
      </c>
    </row>
    <row r="914" spans="1:6" ht="14.1" customHeight="1" x14ac:dyDescent="0.25">
      <c r="A914" s="33" t="s">
        <v>188</v>
      </c>
      <c r="B914" s="34" t="str">
        <f ca="1">IFERROR(INDEX(UNSPSCDes,MATCH(INDIRECT(ADDRESS(ROW(),COLUMN()-1,4)),UNSPSCCode,0)),IF(INDIRECT(ADDRESS(ROW(),COLUMN()-1,4))="14111506","Papel para impresión de computadores",""))</f>
        <v>Papel para impresión de computadores</v>
      </c>
      <c r="C914" s="35" t="str">
        <f>IFERROR(VLOOKUP("RESMA",'[1]Informacion '!P:Q,2,FALSE),"")</f>
        <v>Resma</v>
      </c>
      <c r="D914" s="33">
        <v>50</v>
      </c>
      <c r="E914" s="36">
        <v>275</v>
      </c>
      <c r="F914" s="37">
        <f t="shared" ca="1" si="22"/>
        <v>13750</v>
      </c>
    </row>
    <row r="915" spans="1:6" ht="14.1" customHeight="1" x14ac:dyDescent="0.25">
      <c r="A915" s="33" t="s">
        <v>189</v>
      </c>
      <c r="B915" s="34" t="str">
        <f ca="1">IFERROR(INDEX(UNSPSCDes,MATCH(INDIRECT(ADDRESS(ROW(),COLUMN()-1,4)),UNSPSCCode,0)),IF(INDIRECT(ADDRESS(ROW(),COLUMN()-1,4))="44122107","Grapas",""))</f>
        <v>Grapas</v>
      </c>
      <c r="C915" s="35" t="str">
        <f>IFERROR(VLOOKUP("CAJ",'[1]Informacion '!P:Q,2,FALSE),"")</f>
        <v>Caja</v>
      </c>
      <c r="D915" s="33">
        <v>25</v>
      </c>
      <c r="E915" s="36">
        <v>36</v>
      </c>
      <c r="F915" s="37">
        <f t="shared" ca="1" si="22"/>
        <v>900</v>
      </c>
    </row>
    <row r="916" spans="1:6" ht="14.1" customHeight="1" x14ac:dyDescent="0.25">
      <c r="A916" s="33" t="s">
        <v>180</v>
      </c>
      <c r="B916" s="34" t="str">
        <f ca="1">IFERROR(INDEX(UNSPSCDes,MATCH(INDIRECT(ADDRESS(ROW(),COLUMN()-1,4)),UNSPSCCode,0)),IF(INDIRECT(ADDRESS(ROW(),COLUMN()-1,4))="44122005","Cubiertas para revistas o libros",""))</f>
        <v>Cubiertas para revistas o libros</v>
      </c>
      <c r="C916" s="35" t="str">
        <f>IFERROR(VLOOKUP("PAQ",'[1]Informacion '!P:Q,2,FALSE),"")</f>
        <v>Paquete</v>
      </c>
      <c r="D916" s="33">
        <v>20</v>
      </c>
      <c r="E916" s="36">
        <v>325</v>
      </c>
      <c r="F916" s="37">
        <f t="shared" ca="1" si="22"/>
        <v>6500</v>
      </c>
    </row>
    <row r="917" spans="1:6" ht="14.1" customHeight="1" x14ac:dyDescent="0.25">
      <c r="A917" s="33" t="s">
        <v>182</v>
      </c>
      <c r="B917" s="34" t="str">
        <f ca="1">IFERROR(INDEX(UNSPSCDes,MATCH(INDIRECT(ADDRESS(ROW(),COLUMN()-1,4)),UNSPSCCode,0)),IF(INDIRECT(ADDRESS(ROW(),COLUMN()-1,4))="44122104","Clips para papel",""))</f>
        <v>Clips para papel</v>
      </c>
      <c r="C917" s="35" t="str">
        <f>IFERROR(VLOOKUP("CAJ",'[1]Informacion '!P:Q,2,FALSE),"")</f>
        <v>Caja</v>
      </c>
      <c r="D917" s="33">
        <v>100</v>
      </c>
      <c r="E917" s="36">
        <v>120</v>
      </c>
      <c r="F917" s="37">
        <f t="shared" ca="1" si="22"/>
        <v>12000</v>
      </c>
    </row>
    <row r="918" spans="1:6" ht="14.1" customHeight="1" x14ac:dyDescent="0.25">
      <c r="A918" s="33" t="s">
        <v>190</v>
      </c>
      <c r="B918" s="34" t="str">
        <f ca="1">IFERROR(INDEX(UNSPSCDes,MATCH(INDIRECT(ADDRESS(ROW(),COLUMN()-1,4)),UNSPSCCode,0)),IF(INDIRECT(ADDRESS(ROW(),COLUMN()-1,4))="44121701","Bolígrafos",""))</f>
        <v>Bolígrafos</v>
      </c>
      <c r="C918" s="35" t="str">
        <f>IFERROR(VLOOKUP("CAJ",'[1]Informacion '!P:Q,2,FALSE),"")</f>
        <v>Caja</v>
      </c>
      <c r="D918" s="33">
        <v>10</v>
      </c>
      <c r="E918" s="36">
        <v>155</v>
      </c>
      <c r="F918" s="37">
        <f t="shared" ca="1" si="22"/>
        <v>1550</v>
      </c>
    </row>
    <row r="919" spans="1:6" ht="14.1" customHeight="1" x14ac:dyDescent="0.25">
      <c r="A919" s="33" t="s">
        <v>191</v>
      </c>
      <c r="B919" s="34" t="str">
        <f ca="1">IFERROR(INDEX(UNSPSCDes,MATCH(INDIRECT(ADDRESS(ROW(),COLUMN()-1,4)),UNSPSCCode,0)),IF(INDIRECT(ADDRESS(ROW(),COLUMN()-1,4))="41111604","Reglas",""))</f>
        <v>Reglas</v>
      </c>
      <c r="C919" s="35" t="str">
        <f>IFERROR(VLOOKUP("UD",'[1]Informacion '!P:Q,2,FALSE),"")</f>
        <v>Unidad</v>
      </c>
      <c r="D919" s="33">
        <v>50</v>
      </c>
      <c r="E919" s="36">
        <v>7</v>
      </c>
      <c r="F919" s="37">
        <f t="shared" ca="1" si="22"/>
        <v>350</v>
      </c>
    </row>
    <row r="920" spans="1:6" ht="14.1" customHeight="1" x14ac:dyDescent="0.25">
      <c r="A920" s="33" t="s">
        <v>190</v>
      </c>
      <c r="B920" s="34" t="str">
        <f ca="1">IFERROR(INDEX(UNSPSCDes,MATCH(INDIRECT(ADDRESS(ROW(),COLUMN()-1,4)),UNSPSCCode,0)),IF(INDIRECT(ADDRESS(ROW(),COLUMN()-1,4))="44121701","Bolígrafos",""))</f>
        <v>Bolígrafos</v>
      </c>
      <c r="C920" s="35" t="str">
        <f>IFERROR(VLOOKUP("CAJ",'[1]Informacion '!P:Q,2,FALSE),"")</f>
        <v>Caja</v>
      </c>
      <c r="D920" s="33">
        <v>4</v>
      </c>
      <c r="E920" s="36">
        <v>225</v>
      </c>
      <c r="F920" s="37">
        <f t="shared" ca="1" si="22"/>
        <v>900</v>
      </c>
    </row>
    <row r="921" spans="1:6" ht="14.1" customHeight="1" x14ac:dyDescent="0.25">
      <c r="A921" s="33" t="s">
        <v>147</v>
      </c>
      <c r="B921" s="34" t="str">
        <f ca="1">IFERROR(INDEX(UNSPSCDes,MATCH(INDIRECT(ADDRESS(ROW(),COLUMN()-1,4)),UNSPSCCode,0)),IF(INDIRECT(ADDRESS(ROW(),COLUMN()-1,4))="31201610","Pegamentos",""))</f>
        <v>Pegamentos</v>
      </c>
      <c r="C921" s="35" t="str">
        <f>IFERROR(VLOOKUP("UD",'[1]Informacion '!P:Q,2,FALSE),"")</f>
        <v>Unidad</v>
      </c>
      <c r="D921" s="33">
        <v>24</v>
      </c>
      <c r="E921" s="36">
        <v>92.4</v>
      </c>
      <c r="F921" s="37">
        <f t="shared" ca="1" si="22"/>
        <v>2217.6000000000004</v>
      </c>
    </row>
    <row r="922" spans="1:6" ht="14.1" customHeight="1" x14ac:dyDescent="0.25">
      <c r="A922" s="33" t="s">
        <v>147</v>
      </c>
      <c r="B922" s="34" t="str">
        <f ca="1">IFERROR(INDEX(UNSPSCDes,MATCH(INDIRECT(ADDRESS(ROW(),COLUMN()-1,4)),UNSPSCCode,0)),IF(INDIRECT(ADDRESS(ROW(),COLUMN()-1,4))="31201610","Pegamentos",""))</f>
        <v>Pegamentos</v>
      </c>
      <c r="C922" s="35" t="str">
        <f>IFERROR(VLOOKUP("CAJ",'[1]Informacion '!P:Q,2,FALSE),"")</f>
        <v>Caja</v>
      </c>
      <c r="D922" s="33">
        <v>10</v>
      </c>
      <c r="E922" s="36">
        <v>640</v>
      </c>
      <c r="F922" s="37">
        <f t="shared" ca="1" si="22"/>
        <v>6400</v>
      </c>
    </row>
    <row r="923" spans="1:6" ht="14.1" customHeight="1" x14ac:dyDescent="0.25">
      <c r="A923" s="33" t="s">
        <v>192</v>
      </c>
      <c r="B923" s="34" t="str">
        <f ca="1">IFERROR(INDEX(UNSPSCDes,MATCH(INDIRECT(ADDRESS(ROW(),COLUMN()-1,4)),UNSPSCCode,0)),IF(INDIRECT(ADDRESS(ROW(),COLUMN()-1,4))="14111537","Etiquetas de papel",""))</f>
        <v>Etiquetas de papel</v>
      </c>
      <c r="C923" s="35" t="str">
        <f>IFERROR(VLOOKUP("CAJ",'[1]Informacion '!P:Q,2,FALSE),"")</f>
        <v>Caja</v>
      </c>
      <c r="D923" s="33">
        <v>2</v>
      </c>
      <c r="E923" s="36">
        <v>555</v>
      </c>
      <c r="F923" s="37">
        <f t="shared" ca="1" si="22"/>
        <v>1110</v>
      </c>
    </row>
    <row r="924" spans="1:6" ht="14.1" customHeight="1" x14ac:dyDescent="0.25">
      <c r="A924" s="33" t="s">
        <v>192</v>
      </c>
      <c r="B924" s="34" t="str">
        <f ca="1">IFERROR(INDEX(UNSPSCDes,MATCH(INDIRECT(ADDRESS(ROW(),COLUMN()-1,4)),UNSPSCCode,0)),IF(INDIRECT(ADDRESS(ROW(),COLUMN()-1,4))="14111537","Etiquetas de papel",""))</f>
        <v>Etiquetas de papel</v>
      </c>
      <c r="C924" s="35" t="str">
        <f>IFERROR(VLOOKUP("CAJ",'[1]Informacion '!P:Q,2,FALSE),"")</f>
        <v>Caja</v>
      </c>
      <c r="D924" s="33">
        <v>2</v>
      </c>
      <c r="E924" s="36">
        <v>955</v>
      </c>
      <c r="F924" s="37">
        <f t="shared" ca="1" si="22"/>
        <v>1910</v>
      </c>
    </row>
    <row r="925" spans="1:6" ht="14.1" customHeight="1" x14ac:dyDescent="0.25">
      <c r="A925" s="33" t="s">
        <v>193</v>
      </c>
      <c r="B925" s="34" t="str">
        <f ca="1">IFERROR(INDEX(UNSPSCDes,MATCH(INDIRECT(ADDRESS(ROW(),COLUMN()-1,4)),UNSPSCCode,0)),IF(INDIRECT(ADDRESS(ROW(),COLUMN()-1,4))="60103107","Bandas elásticas para tableros geométricos",""))</f>
        <v>Bandas elásticas para tableros geométricos</v>
      </c>
      <c r="C925" s="35" t="str">
        <f>IFERROR(VLOOKUP("CAJ",'[1]Informacion '!P:Q,2,FALSE),"")</f>
        <v>Caja</v>
      </c>
      <c r="D925" s="33">
        <v>50</v>
      </c>
      <c r="E925" s="36">
        <v>30</v>
      </c>
      <c r="F925" s="37">
        <f t="shared" ca="1" si="22"/>
        <v>1500</v>
      </c>
    </row>
    <row r="926" spans="1:6" ht="14.1" customHeight="1" x14ac:dyDescent="0.25">
      <c r="A926" s="33" t="s">
        <v>194</v>
      </c>
      <c r="B926" s="34" t="str">
        <f ca="1">IFERROR(INDEX(UNSPSCDes,MATCH(INDIRECT(ADDRESS(ROW(),COLUMN()-1,4)),UNSPSCCode,0)),IF(INDIRECT(ADDRESS(ROW(),COLUMN()-1,4))="14111531","Papel libros o cuadernos para bitácoras",""))</f>
        <v>Papel libros o cuadernos para bitácoras</v>
      </c>
      <c r="C926" s="35" t="str">
        <f>IFERROR(VLOOKUP("UD",'[1]Informacion '!P:Q,2,FALSE),"")</f>
        <v>Unidad</v>
      </c>
      <c r="D926" s="33">
        <v>10</v>
      </c>
      <c r="E926" s="36">
        <v>256</v>
      </c>
      <c r="F926" s="37">
        <f t="shared" ca="1" si="22"/>
        <v>2560</v>
      </c>
    </row>
    <row r="927" spans="1:6" ht="14.1" customHeight="1" x14ac:dyDescent="0.25">
      <c r="A927" s="33" t="s">
        <v>195</v>
      </c>
      <c r="B927" s="34" t="str">
        <f ca="1">IFERROR(INDEX(UNSPSCDes,MATCH(INDIRECT(ADDRESS(ROW(),COLUMN()-1,4)),UNSPSCCode,0)),IF(INDIRECT(ADDRESS(ROW(),COLUMN()-1,4))="44112001","Libretas de direcciones o repuestos",""))</f>
        <v>Libretas de direcciones o repuestos</v>
      </c>
      <c r="C927" s="35" t="str">
        <f>IFERROR(VLOOKUP("UD",'[1]Informacion '!P:Q,2,FALSE),"")</f>
        <v>Unidad</v>
      </c>
      <c r="D927" s="33">
        <v>48</v>
      </c>
      <c r="E927" s="36">
        <v>18.38</v>
      </c>
      <c r="F927" s="37">
        <f t="shared" ca="1" si="22"/>
        <v>882.24</v>
      </c>
    </row>
    <row r="928" spans="1:6" ht="14.1" customHeight="1" x14ac:dyDescent="0.25">
      <c r="A928" s="33" t="s">
        <v>196</v>
      </c>
      <c r="B928" s="34" t="str">
        <f ca="1">IFERROR(INDEX(UNSPSCDes,MATCH(INDIRECT(ADDRESS(ROW(),COLUMN()-1,4)),UNSPSCCode,0)),IF(INDIRECT(ADDRESS(ROW(),COLUMN()-1,4))="44112005","Libretas de citas o repuestos",""))</f>
        <v>Libretas de citas o repuestos</v>
      </c>
      <c r="C928" s="35" t="str">
        <f>IFERROR(VLOOKUP("UD",'[1]Informacion '!P:Q,2,FALSE),"")</f>
        <v>Unidad</v>
      </c>
      <c r="D928" s="33">
        <v>30</v>
      </c>
      <c r="E928" s="36">
        <v>181</v>
      </c>
      <c r="F928" s="37">
        <f t="shared" ca="1" si="22"/>
        <v>5430</v>
      </c>
    </row>
    <row r="929" spans="1:6" ht="14.1" customHeight="1" x14ac:dyDescent="0.25">
      <c r="A929" s="33" t="s">
        <v>197</v>
      </c>
      <c r="B929" s="34" t="str">
        <f ca="1">IFERROR(INDEX(UNSPSCDes,MATCH(INDIRECT(ADDRESS(ROW(),COLUMN()-1,4)),UNSPSCCode,0)),IF(INDIRECT(ADDRESS(ROW(),COLUMN()-1,4))="44111513","Soportes para diarios o calendarios",""))</f>
        <v>Soportes para diarios o calendarios</v>
      </c>
      <c r="C929" s="35" t="str">
        <f>IFERROR(VLOOKUP("UD",'[1]Informacion '!P:Q,2,FALSE),"")</f>
        <v>Unidad</v>
      </c>
      <c r="D929" s="33">
        <v>10</v>
      </c>
      <c r="E929" s="36">
        <v>130</v>
      </c>
      <c r="F929" s="37">
        <f t="shared" ca="1" si="22"/>
        <v>1300</v>
      </c>
    </row>
    <row r="930" spans="1:6" ht="14.1" customHeight="1" x14ac:dyDescent="0.25">
      <c r="A930" s="33" t="s">
        <v>198</v>
      </c>
      <c r="B930" s="34" t="str">
        <f ca="1">IFERROR(INDEX(UNSPSCDes,MATCH(INDIRECT(ADDRESS(ROW(),COLUMN()-1,4)),UNSPSCCode,0)),IF(INDIRECT(ADDRESS(ROW(),COLUMN()-1,4))="14111530","Papel de notas autoadhesivas",""))</f>
        <v>Papel de notas autoadhesivas</v>
      </c>
      <c r="C930" s="35" t="str">
        <f>IFERROR(VLOOKUP("UD",'[1]Informacion '!P:Q,2,FALSE),"")</f>
        <v>Unidad</v>
      </c>
      <c r="D930" s="33">
        <v>80</v>
      </c>
      <c r="E930" s="36">
        <v>17</v>
      </c>
      <c r="F930" s="37">
        <f t="shared" ca="1" si="22"/>
        <v>1360</v>
      </c>
    </row>
    <row r="931" spans="1:6" ht="14.1" customHeight="1" x14ac:dyDescent="0.25">
      <c r="A931" s="33" t="s">
        <v>199</v>
      </c>
      <c r="B931" s="34" t="str">
        <f ca="1">IFERROR(INDEX(UNSPSCDes,MATCH(INDIRECT(ADDRESS(ROW(),COLUMN()-1,4)),UNSPSCCode,0)),IF(INDIRECT(ADDRESS(ROW(),COLUMN()-1,4))="44122011","Folders",""))</f>
        <v>Folders</v>
      </c>
      <c r="C931" s="35" t="str">
        <f>IFERROR(VLOOKUP("CAJ",'[1]Informacion '!P:Q,2,FALSE),"")</f>
        <v>Caja</v>
      </c>
      <c r="D931" s="33">
        <v>50</v>
      </c>
      <c r="E931" s="36">
        <v>238</v>
      </c>
      <c r="F931" s="37">
        <f t="shared" ca="1" si="22"/>
        <v>11900</v>
      </c>
    </row>
    <row r="932" spans="1:6" ht="14.1" customHeight="1" x14ac:dyDescent="0.25">
      <c r="A932" s="33" t="s">
        <v>199</v>
      </c>
      <c r="B932" s="34" t="str">
        <f ca="1">IFERROR(INDEX(UNSPSCDes,MATCH(INDIRECT(ADDRESS(ROW(),COLUMN()-1,4)),UNSPSCCode,0)),IF(INDIRECT(ADDRESS(ROW(),COLUMN()-1,4))="44122011","Folders",""))</f>
        <v>Folders</v>
      </c>
      <c r="C932" s="35" t="str">
        <f>IFERROR(VLOOKUP("CAJ",'[1]Informacion '!P:Q,2,FALSE),"")</f>
        <v>Caja</v>
      </c>
      <c r="D932" s="33">
        <v>10</v>
      </c>
      <c r="E932" s="36">
        <v>350</v>
      </c>
      <c r="F932" s="37">
        <f t="shared" ca="1" si="22"/>
        <v>3500</v>
      </c>
    </row>
    <row r="933" spans="1:6" ht="14.1" customHeight="1" x14ac:dyDescent="0.25">
      <c r="A933" s="33" t="s">
        <v>200</v>
      </c>
      <c r="B933" s="34" t="str">
        <f ca="1">IFERROR(INDEX(UNSPSCDes,MATCH(INDIRECT(ADDRESS(ROW(),COLUMN()-1,4)),UNSPSCCode,0)),IF(INDIRECT(ADDRESS(ROW(),COLUMN()-1,4))="44122017","Folders de colgar o accesorios",""))</f>
        <v>Folders de colgar o accesorios</v>
      </c>
      <c r="C933" s="35" t="str">
        <f>IFERROR(VLOOKUP("CAJ",'[1]Informacion '!P:Q,2,FALSE),"")</f>
        <v>Caja</v>
      </c>
      <c r="D933" s="33">
        <v>8</v>
      </c>
      <c r="E933" s="36">
        <v>534</v>
      </c>
      <c r="F933" s="37">
        <f t="shared" ca="1" si="22"/>
        <v>4272</v>
      </c>
    </row>
    <row r="934" spans="1:6" ht="14.1" customHeight="1" x14ac:dyDescent="0.25">
      <c r="A934" s="33" t="s">
        <v>201</v>
      </c>
      <c r="B934" s="34" t="str">
        <f ca="1">IFERROR(INDEX(UNSPSCDes,MATCH(INDIRECT(ADDRESS(ROW(),COLUMN()-1,4)),UNSPSCCode,0)),IF(INDIRECT(ADDRESS(ROW(),COLUMN()-1,4))="14111527","Papel autocopiante",""))</f>
        <v>Papel autocopiante</v>
      </c>
      <c r="C934" s="35" t="str">
        <f>IFERROR(VLOOKUP("UD",'[1]Informacion '!P:Q,2,FALSE),"")</f>
        <v>Unidad</v>
      </c>
      <c r="D934" s="33">
        <v>100</v>
      </c>
      <c r="E934" s="36">
        <v>50</v>
      </c>
      <c r="F934" s="37">
        <f t="shared" ca="1" si="22"/>
        <v>5000</v>
      </c>
    </row>
    <row r="935" spans="1:6" ht="14.1" customHeight="1" x14ac:dyDescent="0.25">
      <c r="A935" s="33" t="s">
        <v>202</v>
      </c>
      <c r="B935" s="34" t="str">
        <f ca="1">IFERROR(INDEX(UNSPSCDes,MATCH(INDIRECT(ADDRESS(ROW(),COLUMN()-1,4)),UNSPSCCode,0)),IF(INDIRECT(ADDRESS(ROW(),COLUMN()-1,4))="14111515","Papel para sumadora o máquina registradora",""))</f>
        <v>Papel para sumadora o máquina registradora</v>
      </c>
      <c r="C935" s="35" t="str">
        <f>IFERROR(VLOOKUP("UD",'[1]Informacion '!P:Q,2,FALSE),"")</f>
        <v>Unidad</v>
      </c>
      <c r="D935" s="33">
        <v>125</v>
      </c>
      <c r="E935" s="36">
        <v>18</v>
      </c>
      <c r="F935" s="37">
        <f t="shared" ca="1" si="22"/>
        <v>2250</v>
      </c>
    </row>
    <row r="936" spans="1:6" ht="14.1" customHeight="1" x14ac:dyDescent="0.25">
      <c r="A936" s="33" t="s">
        <v>203</v>
      </c>
      <c r="B936" s="34" t="str">
        <f ca="1">IFERROR(INDEX(UNSPSCDes,MATCH(INDIRECT(ADDRESS(ROW(),COLUMN()-1,4)),UNSPSCCode,0)),IF(INDIRECT(ADDRESS(ROW(),COLUMN()-1,4))="43211802","Almohadillas (pads) para mouse",""))</f>
        <v>Almohadillas (pads) para mouse</v>
      </c>
      <c r="C936" s="35" t="str">
        <f>IFERROR(VLOOKUP("UD",'[1]Informacion '!P:Q,2,FALSE),"")</f>
        <v>Unidad</v>
      </c>
      <c r="D936" s="33">
        <v>20</v>
      </c>
      <c r="E936" s="36">
        <v>83</v>
      </c>
      <c r="F936" s="37">
        <f t="shared" ca="1" si="22"/>
        <v>1660</v>
      </c>
    </row>
    <row r="937" spans="1:6" ht="14.1" customHeight="1" x14ac:dyDescent="0.25">
      <c r="A937" s="33" t="s">
        <v>204</v>
      </c>
      <c r="B937" s="34" t="str">
        <f ca="1">IFERROR(INDEX(UNSPSCDes,MATCH(INDIRECT(ADDRESS(ROW(),COLUMN()-1,4)),UNSPSCCode,0)),IF(INDIRECT(ADDRESS(ROW(),COLUMN()-1,4))="43211708","Mouse o bola de seguimiento para computador",""))</f>
        <v>Mouse o bola de seguimiento para computador</v>
      </c>
      <c r="C937" s="35" t="str">
        <f>IFERROR(VLOOKUP("UD",'[1]Informacion '!P:Q,2,FALSE),"")</f>
        <v>Unidad</v>
      </c>
      <c r="D937" s="33">
        <v>10</v>
      </c>
      <c r="E937" s="36">
        <v>300</v>
      </c>
      <c r="F937" s="37">
        <f t="shared" ca="1" si="22"/>
        <v>3000</v>
      </c>
    </row>
    <row r="938" spans="1:6" ht="14.1" customHeight="1" x14ac:dyDescent="0.25">
      <c r="A938" s="33" t="s">
        <v>205</v>
      </c>
      <c r="B938" s="34" t="str">
        <f ca="1">IFERROR(INDEX(UNSPSCDes,MATCH(INDIRECT(ADDRESS(ROW(),COLUMN()-1,4)),UNSPSCCode,0)),IF(INDIRECT(ADDRESS(ROW(),COLUMN()-1,4))="43211706","Teclados",""))</f>
        <v>Teclados</v>
      </c>
      <c r="C938" s="35" t="str">
        <f>IFERROR(VLOOKUP("UD",'[1]Informacion '!P:Q,2,FALSE),"")</f>
        <v>Unidad</v>
      </c>
      <c r="D938" s="33">
        <v>5</v>
      </c>
      <c r="E938" s="36">
        <v>1600</v>
      </c>
      <c r="F938" s="37">
        <f t="shared" ca="1" si="22"/>
        <v>8000</v>
      </c>
    </row>
    <row r="939" spans="1:6" ht="14.1" customHeight="1" x14ac:dyDescent="0.25">
      <c r="A939" s="33" t="s">
        <v>206</v>
      </c>
      <c r="B939" s="34" t="str">
        <f ca="1">IFERROR(INDEX(UNSPSCDes,MATCH(INDIRECT(ADDRESS(ROW(),COLUMN()-1,4)),UNSPSCCode,0)),IF(INDIRECT(ADDRESS(ROW(),COLUMN()-1,4))="44122003","Carpetas",""))</f>
        <v>Carpetas</v>
      </c>
      <c r="C939" s="35" t="str">
        <f>IFERROR(VLOOKUP("UD",'[1]Informacion '!P:Q,2,FALSE),"")</f>
        <v>Unidad</v>
      </c>
      <c r="D939" s="33">
        <v>50</v>
      </c>
      <c r="E939" s="36">
        <v>350</v>
      </c>
      <c r="F939" s="37">
        <f t="shared" ca="1" si="22"/>
        <v>17500</v>
      </c>
    </row>
    <row r="940" spans="1:6" ht="14.1" customHeight="1" x14ac:dyDescent="0.25">
      <c r="A940" s="33" t="s">
        <v>206</v>
      </c>
      <c r="B940" s="34" t="str">
        <f ca="1">IFERROR(INDEX(UNSPSCDes,MATCH(INDIRECT(ADDRESS(ROW(),COLUMN()-1,4)),UNSPSCCode,0)),IF(INDIRECT(ADDRESS(ROW(),COLUMN()-1,4))="44122003","Carpetas",""))</f>
        <v>Carpetas</v>
      </c>
      <c r="C940" s="35" t="str">
        <f>IFERROR(VLOOKUP("UD",'[1]Informacion '!P:Q,2,FALSE),"")</f>
        <v>Unidad</v>
      </c>
      <c r="D940" s="33">
        <v>50</v>
      </c>
      <c r="E940" s="36">
        <v>505</v>
      </c>
      <c r="F940" s="37">
        <f t="shared" ca="1" si="22"/>
        <v>25250</v>
      </c>
    </row>
    <row r="941" spans="1:6" ht="14.1" customHeight="1" x14ac:dyDescent="0.25">
      <c r="A941" s="33" t="s">
        <v>206</v>
      </c>
      <c r="B941" s="34" t="str">
        <f ca="1">IFERROR(INDEX(UNSPSCDes,MATCH(INDIRECT(ADDRESS(ROW(),COLUMN()-1,4)),UNSPSCCode,0)),IF(INDIRECT(ADDRESS(ROW(),COLUMN()-1,4))="44122003","Carpetas",""))</f>
        <v>Carpetas</v>
      </c>
      <c r="C941" s="35" t="str">
        <f>IFERROR(VLOOKUP("UD",'[1]Informacion '!P:Q,2,FALSE),"")</f>
        <v>Unidad</v>
      </c>
      <c r="D941" s="33">
        <v>80</v>
      </c>
      <c r="E941" s="36">
        <v>630</v>
      </c>
      <c r="F941" s="37">
        <f t="shared" ca="1" si="22"/>
        <v>50400</v>
      </c>
    </row>
    <row r="942" spans="1:6" ht="14.1" customHeight="1" x14ac:dyDescent="0.25">
      <c r="A942" s="33" t="s">
        <v>207</v>
      </c>
      <c r="B942" s="34" t="str">
        <f ca="1">IFERROR(INDEX(UNSPSCDes,MATCH(INDIRECT(ADDRESS(ROW(),COLUMN()-1,4)),UNSPSCCode,0)),IF(INDIRECT(ADDRESS(ROW(),COLUMN()-1,4))="44121708","Marcadores",""))</f>
        <v>Marcadores</v>
      </c>
      <c r="C942" s="35" t="str">
        <f>IFERROR(VLOOKUP("UD",'[1]Informacion '!P:Q,2,FALSE),"")</f>
        <v>Unidad</v>
      </c>
      <c r="D942" s="33">
        <v>36</v>
      </c>
      <c r="E942" s="36">
        <v>25</v>
      </c>
      <c r="F942" s="37">
        <f t="shared" ca="1" si="22"/>
        <v>900</v>
      </c>
    </row>
    <row r="943" spans="1:6" ht="14.1" customHeight="1" x14ac:dyDescent="0.25">
      <c r="A943" s="33" t="s">
        <v>208</v>
      </c>
      <c r="B943" s="34" t="str">
        <f ca="1">IFERROR(INDEX(UNSPSCDes,MATCH(INDIRECT(ADDRESS(ROW(),COLUMN()-1,4)),UNSPSCCode,0)),IF(INDIRECT(ADDRESS(ROW(),COLUMN()-1,4))="44111503","Organizadores o bandejas para el escritorio",""))</f>
        <v>Organizadores o bandejas para el escritorio</v>
      </c>
      <c r="C943" s="35" t="str">
        <f>IFERROR(VLOOKUP("UD",'[1]Informacion '!P:Q,2,FALSE),"")</f>
        <v>Unidad</v>
      </c>
      <c r="D943" s="33">
        <v>24</v>
      </c>
      <c r="E943" s="36">
        <v>580</v>
      </c>
      <c r="F943" s="37">
        <f t="shared" ca="1" si="22"/>
        <v>13920</v>
      </c>
    </row>
    <row r="944" spans="1:6" ht="14.1" customHeight="1" x14ac:dyDescent="0.25">
      <c r="A944" s="33" t="s">
        <v>209</v>
      </c>
      <c r="B944" s="34" t="str">
        <f ca="1">IFERROR(INDEX(UNSPSCDes,MATCH(INDIRECT(ADDRESS(ROW(),COLUMN()-1,4)),UNSPSCCode,0)),IF(INDIRECT(ADDRESS(ROW(),COLUMN()-1,4))="44103112","Cinta de impresora",""))</f>
        <v>Cinta de impresora</v>
      </c>
      <c r="C944" s="35" t="str">
        <f>IFERROR(VLOOKUP("UD",'[1]Informacion '!P:Q,2,FALSE),"")</f>
        <v>Unidad</v>
      </c>
      <c r="D944" s="33">
        <v>10</v>
      </c>
      <c r="E944" s="36">
        <v>1900</v>
      </c>
      <c r="F944" s="37">
        <f t="shared" ca="1" si="22"/>
        <v>19000</v>
      </c>
    </row>
    <row r="945" spans="1:6" ht="14.1" customHeight="1" x14ac:dyDescent="0.25">
      <c r="A945" s="33" t="s">
        <v>210</v>
      </c>
      <c r="B945" s="34" t="str">
        <f ca="1">IFERROR(INDEX(UNSPSCDes,MATCH(INDIRECT(ADDRESS(ROW(),COLUMN()-1,4)),UNSPSCCode,0)),IF(INDIRECT(ADDRESS(ROW(),COLUMN()-1,4))="44102606","Cinta de máquinas de escribir",""))</f>
        <v>Cinta de máquinas de escribir</v>
      </c>
      <c r="C945" s="35" t="str">
        <f>IFERROR(VLOOKUP("UD",'[1]Informacion '!P:Q,2,FALSE),"")</f>
        <v>Unidad</v>
      </c>
      <c r="D945" s="33">
        <v>30</v>
      </c>
      <c r="E945" s="36">
        <v>60</v>
      </c>
      <c r="F945" s="37">
        <f t="shared" ca="1" si="22"/>
        <v>1800</v>
      </c>
    </row>
    <row r="946" spans="1:6" ht="14.1" customHeight="1" x14ac:dyDescent="0.25">
      <c r="A946" s="33" t="s">
        <v>211</v>
      </c>
      <c r="B946" s="34" t="str">
        <f ca="1">IFERROR(INDEX(UNSPSCDes,MATCH(INDIRECT(ADDRESS(ROW(),COLUMN()-1,4)),UNSPSCCode,0)),IF(INDIRECT(ADDRESS(ROW(),COLUMN()-1,4))="31201512","Cinta transparente",""))</f>
        <v>Cinta transparente</v>
      </c>
      <c r="C946" s="35" t="str">
        <f>IFERROR(VLOOKUP("UD",'[1]Informacion '!P:Q,2,FALSE),"")</f>
        <v>Unidad</v>
      </c>
      <c r="D946" s="33">
        <v>36</v>
      </c>
      <c r="E946" s="36">
        <v>85</v>
      </c>
      <c r="F946" s="37">
        <f t="shared" ca="1" si="22"/>
        <v>3060</v>
      </c>
    </row>
    <row r="947" spans="1:6" ht="14.1" customHeight="1" x14ac:dyDescent="0.25">
      <c r="A947" s="33" t="s">
        <v>211</v>
      </c>
      <c r="B947" s="34" t="str">
        <f ca="1">IFERROR(INDEX(UNSPSCDes,MATCH(INDIRECT(ADDRESS(ROW(),COLUMN()-1,4)),UNSPSCCode,0)),IF(INDIRECT(ADDRESS(ROW(),COLUMN()-1,4))="31201512","Cinta transparente",""))</f>
        <v>Cinta transparente</v>
      </c>
      <c r="C947" s="35" t="str">
        <f>IFERROR(VLOOKUP("UD",'[1]Informacion '!P:Q,2,FALSE),"")</f>
        <v>Unidad</v>
      </c>
      <c r="D947" s="33">
        <v>40</v>
      </c>
      <c r="E947" s="36">
        <v>72</v>
      </c>
      <c r="F947" s="37">
        <f t="shared" ca="1" si="22"/>
        <v>2880</v>
      </c>
    </row>
    <row r="948" spans="1:6" ht="14.1" customHeight="1" x14ac:dyDescent="0.25">
      <c r="A948" s="33" t="s">
        <v>212</v>
      </c>
      <c r="B948" s="34" t="str">
        <f ca="1">IFERROR(INDEX(UNSPSCDes,MATCH(INDIRECT(ADDRESS(ROW(),COLUMN()-1,4)),UNSPSCCode,0)),IF(INDIRECT(ADDRESS(ROW(),COLUMN()-1,4))="44121605","Dispensadores de cinta",""))</f>
        <v>Dispensadores de cinta</v>
      </c>
      <c r="C948" s="35" t="str">
        <f>IFERROR(VLOOKUP("UD",'[1]Informacion '!P:Q,2,FALSE),"")</f>
        <v>Unidad</v>
      </c>
      <c r="D948" s="33">
        <v>10</v>
      </c>
      <c r="E948" s="36">
        <v>95</v>
      </c>
      <c r="F948" s="37">
        <f t="shared" ca="1" si="22"/>
        <v>950</v>
      </c>
    </row>
    <row r="949" spans="1:6" ht="14.1" customHeight="1" x14ac:dyDescent="0.25">
      <c r="A949" s="33" t="s">
        <v>213</v>
      </c>
      <c r="B949" s="34" t="str">
        <f ca="1">IFERROR(INDEX(UNSPSCDes,MATCH(INDIRECT(ADDRESS(ROW(),COLUMN()-1,4)),UNSPSCCode,0)),IF(INDIRECT(ADDRESS(ROW(),COLUMN()-1,4))="44121628","Contenedores o dispensadores de clips",""))</f>
        <v>Contenedores o dispensadores de clips</v>
      </c>
      <c r="C949" s="35" t="str">
        <f>IFERROR(VLOOKUP("UD",'[1]Informacion '!P:Q,2,FALSE),"")</f>
        <v>Unidad</v>
      </c>
      <c r="D949" s="33">
        <v>15</v>
      </c>
      <c r="E949" s="36">
        <v>33</v>
      </c>
      <c r="F949" s="37">
        <f t="shared" ca="1" si="22"/>
        <v>495</v>
      </c>
    </row>
    <row r="950" spans="1:6" ht="14.1" customHeight="1" x14ac:dyDescent="0.25">
      <c r="A950" s="33" t="s">
        <v>214</v>
      </c>
      <c r="B950" s="34" t="str">
        <f ca="1">IFERROR(INDEX(UNSPSCDes,MATCH(INDIRECT(ADDRESS(ROW(),COLUMN()-1,4)),UNSPSCCode,0)),IF(INDIRECT(ADDRESS(ROW(),COLUMN()-1,4))="44121904","Repuestos de tinta",""))</f>
        <v>Repuestos de tinta</v>
      </c>
      <c r="C950" s="35" t="str">
        <f>IFERROR(VLOOKUP("UD",'[1]Informacion '!P:Q,2,FALSE),"")</f>
        <v>Unidad</v>
      </c>
      <c r="D950" s="33">
        <v>5</v>
      </c>
      <c r="E950" s="36">
        <v>38</v>
      </c>
      <c r="F950" s="37">
        <f t="shared" ca="1" si="22"/>
        <v>190</v>
      </c>
    </row>
    <row r="951" spans="1:6" ht="14.1" customHeight="1" x14ac:dyDescent="0.25">
      <c r="A951" s="33" t="s">
        <v>215</v>
      </c>
      <c r="B951" s="34" t="str">
        <f ca="1">IFERROR(INDEX(UNSPSCDes,MATCH(INDIRECT(ADDRESS(ROW(),COLUMN()-1,4)),UNSPSCCode,0)),IF(INDIRECT(ADDRESS(ROW(),COLUMN()-1,4))="44122016","Sujetador de documentos",""))</f>
        <v>Sujetador de documentos</v>
      </c>
      <c r="C951" s="35" t="str">
        <f>IFERROR(VLOOKUP("CAJ",'[1]Informacion '!P:Q,2,FALSE),"")</f>
        <v>Caja</v>
      </c>
      <c r="D951" s="33">
        <v>50</v>
      </c>
      <c r="E951" s="36">
        <v>65</v>
      </c>
      <c r="F951" s="37">
        <f t="shared" ca="1" si="22"/>
        <v>3250</v>
      </c>
    </row>
    <row r="952" spans="1:6" ht="14.1" customHeight="1" x14ac:dyDescent="0.25">
      <c r="A952" s="33" t="s">
        <v>216</v>
      </c>
      <c r="B952" s="34" t="str">
        <f ca="1">IFERROR(INDEX(UNSPSCDes,MATCH(INDIRECT(ADDRESS(ROW(),COLUMN()-1,4)),UNSPSCCode,0)),IF(INDIRECT(ADDRESS(ROW(),COLUMN()-1,4))="44101602","Máquinas perforadoras o para unir papel",""))</f>
        <v>Máquinas perforadoras o para unir papel</v>
      </c>
      <c r="C952" s="35" t="str">
        <f>IFERROR(VLOOKUP("UD",'[1]Informacion '!P:Q,2,FALSE),"")</f>
        <v>Unidad</v>
      </c>
      <c r="D952" s="33">
        <v>3</v>
      </c>
      <c r="E952" s="36">
        <v>3150</v>
      </c>
      <c r="F952" s="37">
        <f t="shared" ca="1" si="22"/>
        <v>9450</v>
      </c>
    </row>
    <row r="953" spans="1:6" ht="14.1" customHeight="1" x14ac:dyDescent="0.25">
      <c r="A953" s="33" t="s">
        <v>216</v>
      </c>
      <c r="B953" s="34" t="str">
        <f ca="1">IFERROR(INDEX(UNSPSCDes,MATCH(INDIRECT(ADDRESS(ROW(),COLUMN()-1,4)),UNSPSCCode,0)),IF(INDIRECT(ADDRESS(ROW(),COLUMN()-1,4))="44101602","Máquinas perforadoras o para unir papel",""))</f>
        <v>Máquinas perforadoras o para unir papel</v>
      </c>
      <c r="C953" s="35" t="str">
        <f>IFERROR(VLOOKUP("UD",'[1]Informacion '!P:Q,2,FALSE),"")</f>
        <v>Unidad</v>
      </c>
      <c r="D953" s="33">
        <v>10</v>
      </c>
      <c r="E953" s="36">
        <v>455</v>
      </c>
      <c r="F953" s="37">
        <f t="shared" ca="1" si="22"/>
        <v>4550</v>
      </c>
    </row>
    <row r="954" spans="1:6" ht="14.1" customHeight="1" x14ac:dyDescent="0.25">
      <c r="A954" s="33" t="s">
        <v>218</v>
      </c>
      <c r="B954" s="34" t="str">
        <f ca="1">IFERROR(INDEX(UNSPSCDes,MATCH(INDIRECT(ADDRESS(ROW(),COLUMN()-1,4)),UNSPSCCode,0)),IF(INDIRECT(ADDRESS(ROW(),COLUMN()-1,4))="44103504","Alambres o espirales de encuadernación",""))</f>
        <v>Alambres o espirales de encuadernación</v>
      </c>
      <c r="C954" s="35" t="str">
        <f>IFERROR(VLOOKUP("CAJ",'[1]Informacion '!P:Q,2,FALSE),"")</f>
        <v>Caja</v>
      </c>
      <c r="D954" s="33">
        <v>5</v>
      </c>
      <c r="E954" s="36">
        <v>495</v>
      </c>
      <c r="F954" s="37">
        <f t="shared" ca="1" si="22"/>
        <v>2475</v>
      </c>
    </row>
    <row r="955" spans="1:6" ht="14.1" customHeight="1" x14ac:dyDescent="0.25">
      <c r="A955" s="33" t="s">
        <v>218</v>
      </c>
      <c r="B955" s="34" t="str">
        <f ca="1">IFERROR(INDEX(UNSPSCDes,MATCH(INDIRECT(ADDRESS(ROW(),COLUMN()-1,4)),UNSPSCCode,0)),IF(INDIRECT(ADDRESS(ROW(),COLUMN()-1,4))="44103504","Alambres o espirales de encuadernación",""))</f>
        <v>Alambres o espirales de encuadernación</v>
      </c>
      <c r="C955" s="35" t="str">
        <f>IFERROR(VLOOKUP("CAJ",'[1]Informacion '!P:Q,2,FALSE),"")</f>
        <v>Caja</v>
      </c>
      <c r="D955" s="33">
        <v>5</v>
      </c>
      <c r="E955" s="36">
        <v>571</v>
      </c>
      <c r="F955" s="37">
        <f t="shared" ca="1" si="22"/>
        <v>2855</v>
      </c>
    </row>
    <row r="956" spans="1:6" ht="14.1" customHeight="1" x14ac:dyDescent="0.25">
      <c r="A956" s="33" t="s">
        <v>218</v>
      </c>
      <c r="B956" s="34" t="str">
        <f ca="1">IFERROR(INDEX(UNSPSCDes,MATCH(INDIRECT(ADDRESS(ROW(),COLUMN()-1,4)),UNSPSCCode,0)),IF(INDIRECT(ADDRESS(ROW(),COLUMN()-1,4))="44103504","Alambres o espirales de encuadernación",""))</f>
        <v>Alambres o espirales de encuadernación</v>
      </c>
      <c r="C956" s="35" t="str">
        <f>IFERROR(VLOOKUP("CAJ",'[1]Informacion '!P:Q,2,FALSE),"")</f>
        <v>Caja</v>
      </c>
      <c r="D956" s="33">
        <v>5</v>
      </c>
      <c r="E956" s="36">
        <v>368</v>
      </c>
      <c r="F956" s="37">
        <f t="shared" ca="1" si="22"/>
        <v>1840</v>
      </c>
    </row>
    <row r="957" spans="1:6" ht="14.1" customHeight="1" x14ac:dyDescent="0.25">
      <c r="A957" s="33" t="s">
        <v>194</v>
      </c>
      <c r="B957" s="34" t="str">
        <f ca="1">IFERROR(INDEX(UNSPSCDes,MATCH(INDIRECT(ADDRESS(ROW(),COLUMN()-1,4)),UNSPSCCode,0)),IF(INDIRECT(ADDRESS(ROW(),COLUMN()-1,4))="14111531","Papel libros o cuadernos para bitácoras",""))</f>
        <v>Papel libros o cuadernos para bitácoras</v>
      </c>
      <c r="C957" s="35" t="str">
        <f>IFERROR(VLOOKUP("UD",'[1]Informacion '!P:Q,2,FALSE),"")</f>
        <v>Unidad</v>
      </c>
      <c r="D957" s="33">
        <v>10</v>
      </c>
      <c r="E957" s="36">
        <v>180</v>
      </c>
      <c r="F957" s="37">
        <f t="shared" ca="1" si="22"/>
        <v>1800</v>
      </c>
    </row>
    <row r="958" spans="1:6" ht="14.1" customHeight="1" x14ac:dyDescent="0.25">
      <c r="A958" s="33" t="s">
        <v>194</v>
      </c>
      <c r="B958" s="34" t="str">
        <f ca="1">IFERROR(INDEX(UNSPSCDes,MATCH(INDIRECT(ADDRESS(ROW(),COLUMN()-1,4)),UNSPSCCode,0)),IF(INDIRECT(ADDRESS(ROW(),COLUMN()-1,4))="14111531","Papel libros o cuadernos para bitácoras",""))</f>
        <v>Papel libros o cuadernos para bitácoras</v>
      </c>
      <c r="C958" s="35" t="str">
        <f>IFERROR(VLOOKUP("UD",'[1]Informacion '!P:Q,2,FALSE),"")</f>
        <v>Unidad</v>
      </c>
      <c r="D958" s="33">
        <v>10</v>
      </c>
      <c r="E958" s="36">
        <v>170</v>
      </c>
      <c r="F958" s="37">
        <f t="shared" ca="1" si="22"/>
        <v>1700</v>
      </c>
    </row>
    <row r="959" spans="1:6" ht="14.1" customHeight="1" x14ac:dyDescent="0.25">
      <c r="A959" s="33" t="s">
        <v>199</v>
      </c>
      <c r="B959" s="34" t="str">
        <f ca="1">IFERROR(INDEX(UNSPSCDes,MATCH(INDIRECT(ADDRESS(ROW(),COLUMN()-1,4)),UNSPSCCode,0)),IF(INDIRECT(ADDRESS(ROW(),COLUMN()-1,4))="44122011","Folders",""))</f>
        <v>Folders</v>
      </c>
      <c r="C959" s="35" t="str">
        <f>IFERROR(VLOOKUP("CAJ",'[1]Informacion '!P:Q,2,FALSE),"")</f>
        <v>Caja</v>
      </c>
      <c r="D959" s="33">
        <v>20</v>
      </c>
      <c r="E959" s="36">
        <v>1200</v>
      </c>
      <c r="F959" s="37">
        <f t="shared" ca="1" si="22"/>
        <v>24000</v>
      </c>
    </row>
    <row r="960" spans="1:6" ht="14.1" customHeight="1" x14ac:dyDescent="0.25">
      <c r="A960" s="33" t="s">
        <v>219</v>
      </c>
      <c r="B960" s="34" t="str">
        <f ca="1">IFERROR(INDEX(UNSPSCDes,MATCH(INDIRECT(ADDRESS(ROW(),COLUMN()-1,4)),UNSPSCCode,0)),IF(INDIRECT(ADDRESS(ROW(),COLUMN()-1,4))="26111702","Pilas alcalinas",""))</f>
        <v>Pilas alcalinas</v>
      </c>
      <c r="C960" s="35" t="str">
        <f>IFERROR(VLOOKUP("PAQ",'[1]Informacion '!P:Q,2,FALSE),"")</f>
        <v>Paquete</v>
      </c>
      <c r="D960" s="33">
        <v>10</v>
      </c>
      <c r="E960" s="36">
        <v>35</v>
      </c>
      <c r="F960" s="37">
        <f t="shared" ref="F960:F963" ca="1" si="23">INDIRECT(ADDRESS(ROW(),COLUMN()-2,4))*INDIRECT(ADDRESS(ROW(),COLUMN()-1,4))</f>
        <v>350</v>
      </c>
    </row>
    <row r="961" spans="1:10" ht="14.1" customHeight="1" x14ac:dyDescent="0.25">
      <c r="A961" s="33" t="s">
        <v>221</v>
      </c>
      <c r="B961" s="34" t="str">
        <f ca="1">IFERROR(INDEX(UNSPSCDes,MATCH(INDIRECT(ADDRESS(ROW(),COLUMN()-1,4)),UNSPSCCode,0)),IF(INDIRECT(ADDRESS(ROW(),COLUMN()-1,4))="44121503","Sobres",""))</f>
        <v>Sobres</v>
      </c>
      <c r="C961" s="35" t="str">
        <f>IFERROR(VLOOKUP("CAJ",'[1]Informacion '!P:Q,2,FALSE),"")</f>
        <v>Caja</v>
      </c>
      <c r="D961" s="33">
        <v>1</v>
      </c>
      <c r="E961" s="36">
        <v>1700</v>
      </c>
      <c r="F961" s="37">
        <f t="shared" ca="1" si="23"/>
        <v>1700</v>
      </c>
    </row>
    <row r="962" spans="1:10" ht="14.1" customHeight="1" x14ac:dyDescent="0.25">
      <c r="A962" s="33" t="s">
        <v>222</v>
      </c>
      <c r="B962" s="34" t="str">
        <f ca="1">IFERROR(INDEX(UNSPSCDes,MATCH(INDIRECT(ADDRESS(ROW(),COLUMN()-1,4)),UNSPSCCode,0)),IF(INDIRECT(ADDRESS(ROW(),COLUMN()-1,4))="44121506","Sobres estándar",""))</f>
        <v>Sobres estándar</v>
      </c>
      <c r="C962" s="35" t="str">
        <f>IFERROR(VLOOKUP("CAJ",'[1]Informacion '!P:Q,2,FALSE),"")</f>
        <v>Caja</v>
      </c>
      <c r="D962" s="33">
        <v>1</v>
      </c>
      <c r="E962" s="36">
        <v>1200</v>
      </c>
      <c r="F962" s="37">
        <f t="shared" ca="1" si="23"/>
        <v>1200</v>
      </c>
    </row>
    <row r="963" spans="1:10" ht="14.1" customHeight="1" x14ac:dyDescent="0.25">
      <c r="A963" s="33" t="s">
        <v>223</v>
      </c>
      <c r="B963" s="34" t="str">
        <f ca="1">IFERROR(INDEX(UNSPSCDes,MATCH(INDIRECT(ADDRESS(ROW(),COLUMN()-1,4)),UNSPSCCode,0)),IF(INDIRECT(ADDRESS(ROW(),COLUMN()-1,4))="44121507","Sobres de catálogos o de gancho",""))</f>
        <v>Sobres de catálogos o de gancho</v>
      </c>
      <c r="C963" s="35" t="str">
        <f>IFERROR(VLOOKUP("CAJ",'[1]Informacion '!P:Q,2,FALSE),"")</f>
        <v>Caja</v>
      </c>
      <c r="D963" s="33">
        <v>1</v>
      </c>
      <c r="E963" s="36">
        <v>1700</v>
      </c>
      <c r="F963" s="37">
        <f t="shared" ca="1" si="23"/>
        <v>1700</v>
      </c>
    </row>
    <row r="964" spans="1:10" ht="14.1" customHeight="1" x14ac:dyDescent="0.25">
      <c r="E964" s="38" t="s">
        <v>48</v>
      </c>
      <c r="F964" s="39">
        <f ca="1">SUM(Table57[MONTO TOTAL ESTIMADO])</f>
        <v>452341.83999999997</v>
      </c>
      <c r="H964" s="25" t="str">
        <f>C889</f>
        <v>Bienes</v>
      </c>
      <c r="I964" s="25" t="str">
        <f>E889</f>
        <v>Sí</v>
      </c>
      <c r="J964" s="25" t="str">
        <f>D889</f>
        <v>Compras Menores</v>
      </c>
    </row>
    <row r="965" spans="1:10" ht="14.1" customHeight="1" x14ac:dyDescent="0.25"/>
    <row r="966" spans="1:10" ht="34.15" customHeight="1" thickBot="1" x14ac:dyDescent="0.3">
      <c r="A966" s="24" t="s">
        <v>19</v>
      </c>
      <c r="B966" s="24" t="s">
        <v>20</v>
      </c>
      <c r="C966" s="24" t="s">
        <v>21</v>
      </c>
      <c r="D966" s="24" t="s">
        <v>22</v>
      </c>
      <c r="E966" s="24" t="s">
        <v>23</v>
      </c>
      <c r="F966" s="24" t="s">
        <v>24</v>
      </c>
    </row>
    <row r="967" spans="1:10" ht="14.1" customHeight="1" thickBot="1" x14ac:dyDescent="0.3">
      <c r="A967" s="26" t="s">
        <v>176</v>
      </c>
      <c r="B967" s="26" t="s">
        <v>176</v>
      </c>
      <c r="C967" s="26" t="s">
        <v>27</v>
      </c>
      <c r="D967" s="26" t="s">
        <v>28</v>
      </c>
      <c r="E967" s="26" t="s">
        <v>54</v>
      </c>
      <c r="F967" s="26"/>
    </row>
    <row r="968" spans="1:10" ht="14.1" customHeight="1" thickBot="1" x14ac:dyDescent="0.3">
      <c r="A968" s="43" t="s">
        <v>30</v>
      </c>
      <c r="B968" s="27" t="s">
        <v>31</v>
      </c>
      <c r="C968" s="28">
        <v>44835</v>
      </c>
      <c r="D968" s="43" t="s">
        <v>32</v>
      </c>
      <c r="E968" s="29" t="s">
        <v>33</v>
      </c>
      <c r="F968" s="30" t="s">
        <v>34</v>
      </c>
    </row>
    <row r="969" spans="1:10" ht="14.1" customHeight="1" thickBot="1" x14ac:dyDescent="0.3">
      <c r="A969" s="44"/>
      <c r="B969" s="27" t="s">
        <v>35</v>
      </c>
      <c r="C969" s="31">
        <f>IF(C968="","",IF(AND(MONTH(C968)&gt;=1,MONTH(C968)&lt;=3),1,IF(AND(MONTH(C968)&gt;=4,MONTH(C968)&lt;=6),2,IF(AND(MONTH(C968)&gt;=7,MONTH(C968)&lt;=9),3,4))))</f>
        <v>4</v>
      </c>
      <c r="D969" s="44"/>
      <c r="E969" s="29" t="s">
        <v>36</v>
      </c>
      <c r="F969" s="30"/>
    </row>
    <row r="970" spans="1:10" ht="14.1" customHeight="1" thickBot="1" x14ac:dyDescent="0.3">
      <c r="A970" s="44"/>
      <c r="B970" s="27" t="s">
        <v>37</v>
      </c>
      <c r="C970" s="28">
        <v>44926</v>
      </c>
      <c r="D970" s="44"/>
      <c r="E970" s="29" t="s">
        <v>38</v>
      </c>
      <c r="F970" s="30"/>
    </row>
    <row r="971" spans="1:10" ht="14.1" customHeight="1" thickBot="1" x14ac:dyDescent="0.3">
      <c r="A971" s="44"/>
      <c r="B971" s="27" t="s">
        <v>35</v>
      </c>
      <c r="C971" s="31">
        <f>IF(C970="","",IF(AND(MONTH(C970)&gt;=1,MONTH(C970)&lt;=3),1,IF(AND(MONTH(C970)&gt;=4,MONTH(C970)&lt;=6),2,IF(AND(MONTH(C970)&gt;=7,MONTH(C970)&lt;=9),3,4))))</f>
        <v>4</v>
      </c>
      <c r="D971" s="44"/>
      <c r="E971" s="29" t="s">
        <v>39</v>
      </c>
      <c r="F971" s="30"/>
    </row>
    <row r="972" spans="1:10" ht="14.1" customHeight="1" x14ac:dyDescent="0.25"/>
    <row r="973" spans="1:10" ht="14.1" customHeight="1" thickBot="1" x14ac:dyDescent="0.3">
      <c r="A973" s="32" t="s">
        <v>40</v>
      </c>
      <c r="B973" s="32" t="s">
        <v>41</v>
      </c>
      <c r="C973" s="32" t="s">
        <v>42</v>
      </c>
      <c r="D973" s="32" t="s">
        <v>43</v>
      </c>
      <c r="E973" s="32" t="s">
        <v>44</v>
      </c>
      <c r="F973" s="32" t="s">
        <v>45</v>
      </c>
    </row>
    <row r="974" spans="1:10" ht="14.1" customHeight="1" x14ac:dyDescent="0.25">
      <c r="A974" s="33" t="s">
        <v>177</v>
      </c>
      <c r="B974" s="34" t="str">
        <f ca="1">IFERROR(INDEX(UNSPSCDes,MATCH(INDIRECT(ADDRESS(ROW(),COLUMN()-1,4)),UNSPSCCode,0)),IF(INDIRECT(ADDRESS(ROW(),COLUMN()-1,4))="44121802","Fluido de corrección",""))</f>
        <v>Fluido de corrección</v>
      </c>
      <c r="C974" s="35" t="str">
        <f>IFERROR(VLOOKUP("UD",'[1]Informacion '!P:Q,2,FALSE),"")</f>
        <v>Unidad</v>
      </c>
      <c r="D974" s="33">
        <v>15</v>
      </c>
      <c r="E974" s="36">
        <v>45</v>
      </c>
      <c r="F974" s="37">
        <f t="shared" ref="F974:F1037" ca="1" si="24">INDIRECT(ADDRESS(ROW(),COLUMN()-2,4))*INDIRECT(ADDRESS(ROW(),COLUMN()-1,4))</f>
        <v>675</v>
      </c>
    </row>
    <row r="975" spans="1:10" ht="14.1" customHeight="1" x14ac:dyDescent="0.25">
      <c r="A975" s="33" t="s">
        <v>178</v>
      </c>
      <c r="B975" s="34" t="str">
        <f ca="1">IFERROR(INDEX(UNSPSCDes,MATCH(INDIRECT(ADDRESS(ROW(),COLUMN()-1,4)),UNSPSCCode,0)),IF(INDIRECT(ADDRESS(ROW(),COLUMN()-1,4))="44121706","Lápices de madera",""))</f>
        <v>Lápices de madera</v>
      </c>
      <c r="C975" s="35" t="str">
        <f>IFERROR(VLOOKUP("CAJ",'[1]Informacion '!P:Q,2,FALSE),"")</f>
        <v>Caja</v>
      </c>
      <c r="D975" s="33">
        <v>50</v>
      </c>
      <c r="E975" s="36">
        <v>50</v>
      </c>
      <c r="F975" s="37">
        <f t="shared" ca="1" si="24"/>
        <v>2500</v>
      </c>
    </row>
    <row r="976" spans="1:10" ht="14.1" customHeight="1" x14ac:dyDescent="0.25">
      <c r="A976" s="33" t="s">
        <v>178</v>
      </c>
      <c r="B976" s="34" t="str">
        <f ca="1">IFERROR(INDEX(UNSPSCDes,MATCH(INDIRECT(ADDRESS(ROW(),COLUMN()-1,4)),UNSPSCCode,0)),IF(INDIRECT(ADDRESS(ROW(),COLUMN()-1,4))="44121706","Lápices de madera",""))</f>
        <v>Lápices de madera</v>
      </c>
      <c r="C976" s="35" t="str">
        <f>IFERROR(VLOOKUP("CAJ",'[1]Informacion '!P:Q,2,FALSE),"")</f>
        <v>Caja</v>
      </c>
      <c r="D976" s="33">
        <v>10</v>
      </c>
      <c r="E976" s="36">
        <v>10</v>
      </c>
      <c r="F976" s="37">
        <f t="shared" ca="1" si="24"/>
        <v>100</v>
      </c>
    </row>
    <row r="977" spans="1:6" ht="14.1" customHeight="1" x14ac:dyDescent="0.25">
      <c r="A977" s="33" t="s">
        <v>179</v>
      </c>
      <c r="B977" s="34" t="str">
        <f ca="1">IFERROR(INDEX(UNSPSCDes,MATCH(INDIRECT(ADDRESS(ROW(),COLUMN()-1,4)),UNSPSCCode,0)),IF(INDIRECT(ADDRESS(ROW(),COLUMN()-1,4))="44121716","Resaltadores",""))</f>
        <v>Resaltadores</v>
      </c>
      <c r="C977" s="35" t="str">
        <f>IFERROR(VLOOKUP("UD",'[1]Informacion '!P:Q,2,FALSE),"")</f>
        <v>Unidad</v>
      </c>
      <c r="D977" s="33">
        <v>75</v>
      </c>
      <c r="E977" s="36">
        <v>20</v>
      </c>
      <c r="F977" s="37">
        <f t="shared" ca="1" si="24"/>
        <v>1500</v>
      </c>
    </row>
    <row r="978" spans="1:6" ht="14.1" customHeight="1" x14ac:dyDescent="0.25">
      <c r="A978" s="33" t="s">
        <v>180</v>
      </c>
      <c r="B978" s="34" t="str">
        <f ca="1">IFERROR(INDEX(UNSPSCDes,MATCH(INDIRECT(ADDRESS(ROW(),COLUMN()-1,4)),UNSPSCCode,0)),IF(INDIRECT(ADDRESS(ROW(),COLUMN()-1,4))="44122005","Cubiertas para revistas o libros",""))</f>
        <v>Cubiertas para revistas o libros</v>
      </c>
      <c r="C978" s="35" t="str">
        <f>IFERROR(VLOOKUP("PAQ",'[1]Informacion '!P:Q,2,FALSE),"")</f>
        <v>Paquete</v>
      </c>
      <c r="D978" s="33">
        <v>30</v>
      </c>
      <c r="E978" s="36">
        <v>260</v>
      </c>
      <c r="F978" s="37">
        <f t="shared" ca="1" si="24"/>
        <v>7800</v>
      </c>
    </row>
    <row r="979" spans="1:6" ht="14.1" customHeight="1" x14ac:dyDescent="0.25">
      <c r="A979" s="33" t="s">
        <v>181</v>
      </c>
      <c r="B979" s="34" t="str">
        <f ca="1">IFERROR(INDEX(UNSPSCDes,MATCH(INDIRECT(ADDRESS(ROW(),COLUMN()-1,4)),UNSPSCCode,0)),IF(INDIRECT(ADDRESS(ROW(),COLUMN()-1,4))="44122010","Separadores",""))</f>
        <v>Separadores</v>
      </c>
      <c r="C979" s="35" t="str">
        <f>IFERROR(VLOOKUP("CAJ",'[1]Informacion '!P:Q,2,FALSE),"")</f>
        <v>Caja</v>
      </c>
      <c r="D979" s="33">
        <v>2</v>
      </c>
      <c r="E979" s="36">
        <v>1700</v>
      </c>
      <c r="F979" s="37">
        <f t="shared" ca="1" si="24"/>
        <v>3400</v>
      </c>
    </row>
    <row r="980" spans="1:6" ht="14.1" customHeight="1" x14ac:dyDescent="0.25">
      <c r="A980" s="33" t="s">
        <v>181</v>
      </c>
      <c r="B980" s="34" t="str">
        <f ca="1">IFERROR(INDEX(UNSPSCDes,MATCH(INDIRECT(ADDRESS(ROW(),COLUMN()-1,4)),UNSPSCCode,0)),IF(INDIRECT(ADDRESS(ROW(),COLUMN()-1,4))="44122010","Separadores",""))</f>
        <v>Separadores</v>
      </c>
      <c r="C980" s="35" t="str">
        <f>IFERROR(VLOOKUP("CAJ",'[1]Informacion '!P:Q,2,FALSE),"")</f>
        <v>Caja</v>
      </c>
      <c r="D980" s="33">
        <v>2</v>
      </c>
      <c r="E980" s="36">
        <v>1000</v>
      </c>
      <c r="F980" s="37">
        <f t="shared" ca="1" si="24"/>
        <v>2000</v>
      </c>
    </row>
    <row r="981" spans="1:6" ht="14.1" customHeight="1" x14ac:dyDescent="0.25">
      <c r="A981" s="33" t="s">
        <v>182</v>
      </c>
      <c r="B981" s="34" t="str">
        <f ca="1">IFERROR(INDEX(UNSPSCDes,MATCH(INDIRECT(ADDRESS(ROW(),COLUMN()-1,4)),UNSPSCCode,0)),IF(INDIRECT(ADDRESS(ROW(),COLUMN()-1,4))="44122104","Clips para papel",""))</f>
        <v>Clips para papel</v>
      </c>
      <c r="C981" s="35" t="str">
        <f>IFERROR(VLOOKUP("CAJ",'[1]Informacion '!P:Q,2,FALSE),"")</f>
        <v>Caja</v>
      </c>
      <c r="D981" s="33">
        <v>50</v>
      </c>
      <c r="E981" s="36">
        <v>300</v>
      </c>
      <c r="F981" s="37">
        <f t="shared" ca="1" si="24"/>
        <v>15000</v>
      </c>
    </row>
    <row r="982" spans="1:6" ht="14.1" customHeight="1" x14ac:dyDescent="0.25">
      <c r="A982" s="33" t="s">
        <v>183</v>
      </c>
      <c r="B982" s="34" t="str">
        <f ca="1">IFERROR(INDEX(UNSPSCDes,MATCH(INDIRECT(ADDRESS(ROW(),COLUMN()-1,4)),UNSPSCCode,0)),IF(INDIRECT(ADDRESS(ROW(),COLUMN()-1,4))="44121615","Grapadoras",""))</f>
        <v>Grapadoras</v>
      </c>
      <c r="C982" s="35" t="str">
        <f>IFERROR(VLOOKUP("UD",'[1]Informacion '!P:Q,2,FALSE),"")</f>
        <v>Unidad</v>
      </c>
      <c r="D982" s="33">
        <v>20</v>
      </c>
      <c r="E982" s="36">
        <v>220</v>
      </c>
      <c r="F982" s="37">
        <f t="shared" ca="1" si="24"/>
        <v>4400</v>
      </c>
    </row>
    <row r="983" spans="1:6" ht="14.1" customHeight="1" x14ac:dyDescent="0.25">
      <c r="A983" s="33" t="s">
        <v>184</v>
      </c>
      <c r="B983" s="34" t="str">
        <f ca="1">IFERROR(INDEX(UNSPSCDes,MATCH(INDIRECT(ADDRESS(ROW(),COLUMN()-1,4)),UNSPSCCode,0)),IF(INDIRECT(ADDRESS(ROW(),COLUMN()-1,4))="44121613","Removedores de grapas (saca ganchos)",""))</f>
        <v>Removedores de grapas (saca ganchos)</v>
      </c>
      <c r="C983" s="35" t="str">
        <f>IFERROR(VLOOKUP("UD",'[1]Informacion '!P:Q,2,FALSE),"")</f>
        <v>Unidad</v>
      </c>
      <c r="D983" s="33">
        <v>20</v>
      </c>
      <c r="E983" s="36">
        <v>50</v>
      </c>
      <c r="F983" s="37">
        <f t="shared" ca="1" si="24"/>
        <v>1000</v>
      </c>
    </row>
    <row r="984" spans="1:6" ht="14.1" customHeight="1" x14ac:dyDescent="0.25">
      <c r="A984" s="33" t="s">
        <v>185</v>
      </c>
      <c r="B984" s="34" t="str">
        <f ca="1">IFERROR(INDEX(UNSPSCDes,MATCH(INDIRECT(ADDRESS(ROW(),COLUMN()-1,4)),UNSPSCCode,0)),IF(INDIRECT(ADDRESS(ROW(),COLUMN()-1,4))="44122105","Clips para carpetas o bulldog",""))</f>
        <v>Clips para carpetas o bulldog</v>
      </c>
      <c r="C984" s="35" t="str">
        <f>IFERROR(VLOOKUP("CAJ",'[1]Informacion '!P:Q,2,FALSE),"")</f>
        <v>Caja</v>
      </c>
      <c r="D984" s="33">
        <v>20</v>
      </c>
      <c r="E984" s="36">
        <v>58</v>
      </c>
      <c r="F984" s="37">
        <f t="shared" ca="1" si="24"/>
        <v>1160</v>
      </c>
    </row>
    <row r="985" spans="1:6" ht="14.1" customHeight="1" x14ac:dyDescent="0.25">
      <c r="A985" s="33" t="s">
        <v>185</v>
      </c>
      <c r="B985" s="34" t="str">
        <f ca="1">IFERROR(INDEX(UNSPSCDes,MATCH(INDIRECT(ADDRESS(ROW(),COLUMN()-1,4)),UNSPSCCode,0)),IF(INDIRECT(ADDRESS(ROW(),COLUMN()-1,4))="44122105","Clips para carpetas o bulldog",""))</f>
        <v>Clips para carpetas o bulldog</v>
      </c>
      <c r="C985" s="35" t="str">
        <f>IFERROR(VLOOKUP("CAJ",'[1]Informacion '!P:Q,2,FALSE),"")</f>
        <v>Caja</v>
      </c>
      <c r="D985" s="33">
        <v>20</v>
      </c>
      <c r="E985" s="36">
        <v>70</v>
      </c>
      <c r="F985" s="37">
        <f t="shared" ca="1" si="24"/>
        <v>1400</v>
      </c>
    </row>
    <row r="986" spans="1:6" ht="14.1" customHeight="1" x14ac:dyDescent="0.25">
      <c r="A986" s="33" t="s">
        <v>185</v>
      </c>
      <c r="B986" s="34" t="str">
        <f ca="1">IFERROR(INDEX(UNSPSCDes,MATCH(INDIRECT(ADDRESS(ROW(),COLUMN()-1,4)),UNSPSCCode,0)),IF(INDIRECT(ADDRESS(ROW(),COLUMN()-1,4))="44122105","Clips para carpetas o bulldog",""))</f>
        <v>Clips para carpetas o bulldog</v>
      </c>
      <c r="C986" s="35" t="str">
        <f>IFERROR(VLOOKUP("CAJ",'[1]Informacion '!P:Q,2,FALSE),"")</f>
        <v>Caja</v>
      </c>
      <c r="D986" s="33">
        <v>20</v>
      </c>
      <c r="E986" s="36">
        <v>85</v>
      </c>
      <c r="F986" s="37">
        <f t="shared" ca="1" si="24"/>
        <v>1700</v>
      </c>
    </row>
    <row r="987" spans="1:6" ht="14.1" customHeight="1" x14ac:dyDescent="0.25">
      <c r="A987" s="33" t="s">
        <v>185</v>
      </c>
      <c r="B987" s="34" t="str">
        <f ca="1">IFERROR(INDEX(UNSPSCDes,MATCH(INDIRECT(ADDRESS(ROW(),COLUMN()-1,4)),UNSPSCCode,0)),IF(INDIRECT(ADDRESS(ROW(),COLUMN()-1,4))="44122105","Clips para carpetas o bulldog",""))</f>
        <v>Clips para carpetas o bulldog</v>
      </c>
      <c r="C987" s="35" t="str">
        <f>IFERROR(VLOOKUP("CAJ",'[1]Informacion '!P:Q,2,FALSE),"")</f>
        <v>Caja</v>
      </c>
      <c r="D987" s="33">
        <v>20</v>
      </c>
      <c r="E987" s="36">
        <v>147</v>
      </c>
      <c r="F987" s="37">
        <f t="shared" ca="1" si="24"/>
        <v>2940</v>
      </c>
    </row>
    <row r="988" spans="1:6" ht="14.1" customHeight="1" x14ac:dyDescent="0.25">
      <c r="A988" s="33" t="s">
        <v>186</v>
      </c>
      <c r="B988" s="34" t="str">
        <f ca="1">IFERROR(INDEX(UNSPSCDes,MATCH(INDIRECT(ADDRESS(ROW(),COLUMN()-1,4)),UNSPSCCode,0)),IF(INDIRECT(ADDRESS(ROW(),COLUMN()-1,4))="44121618","Tijeras",""))</f>
        <v>Tijeras</v>
      </c>
      <c r="C988" s="35" t="str">
        <f>IFERROR(VLOOKUP("UD",'[1]Informacion '!P:Q,2,FALSE),"")</f>
        <v>Unidad</v>
      </c>
      <c r="D988" s="33">
        <v>25</v>
      </c>
      <c r="E988" s="36">
        <v>28</v>
      </c>
      <c r="F988" s="37">
        <f t="shared" ca="1" si="24"/>
        <v>700</v>
      </c>
    </row>
    <row r="989" spans="1:6" ht="14.1" customHeight="1" x14ac:dyDescent="0.25">
      <c r="A989" s="33" t="s">
        <v>187</v>
      </c>
      <c r="B989" s="34" t="str">
        <f ca="1">IFERROR(INDEX(UNSPSCDes,MATCH(INDIRECT(ADDRESS(ROW(),COLUMN()-1,4)),UNSPSCCode,0)),IF(INDIRECT(ADDRESS(ROW(),COLUMN()-1,4))="12181501","Ceras sintéticas",""))</f>
        <v>Ceras sintéticas</v>
      </c>
      <c r="C989" s="35" t="str">
        <f>IFERROR(VLOOKUP("UD",'[1]Informacion '!P:Q,2,FALSE),"")</f>
        <v>Unidad</v>
      </c>
      <c r="D989" s="33">
        <v>20</v>
      </c>
      <c r="E989" s="36">
        <v>70</v>
      </c>
      <c r="F989" s="37">
        <f t="shared" ca="1" si="24"/>
        <v>1400</v>
      </c>
    </row>
    <row r="990" spans="1:6" ht="14.1" customHeight="1" x14ac:dyDescent="0.25">
      <c r="A990" s="33" t="s">
        <v>188</v>
      </c>
      <c r="B990" s="34" t="str">
        <f ca="1">IFERROR(INDEX(UNSPSCDes,MATCH(INDIRECT(ADDRESS(ROW(),COLUMN()-1,4)),UNSPSCCode,0)),IF(INDIRECT(ADDRESS(ROW(),COLUMN()-1,4))="14111506","Papel para impresión de computadores",""))</f>
        <v>Papel para impresión de computadores</v>
      </c>
      <c r="C990" s="35" t="str">
        <f>IFERROR(VLOOKUP("RESMA",'[1]Informacion '!P:Q,2,FALSE),"")</f>
        <v>Resma</v>
      </c>
      <c r="D990" s="33">
        <v>300</v>
      </c>
      <c r="E990" s="36">
        <v>250</v>
      </c>
      <c r="F990" s="37">
        <f t="shared" ca="1" si="24"/>
        <v>75000</v>
      </c>
    </row>
    <row r="991" spans="1:6" ht="14.1" customHeight="1" x14ac:dyDescent="0.25">
      <c r="A991" s="33" t="s">
        <v>188</v>
      </c>
      <c r="B991" s="34" t="str">
        <f ca="1">IFERROR(INDEX(UNSPSCDes,MATCH(INDIRECT(ADDRESS(ROW(),COLUMN()-1,4)),UNSPSCCode,0)),IF(INDIRECT(ADDRESS(ROW(),COLUMN()-1,4))="14111506","Papel para impresión de computadores",""))</f>
        <v>Papel para impresión de computadores</v>
      </c>
      <c r="C991" s="35" t="str">
        <f>IFERROR(VLOOKUP("RESMA",'[1]Informacion '!P:Q,2,FALSE),"")</f>
        <v>Resma</v>
      </c>
      <c r="D991" s="33">
        <v>125</v>
      </c>
      <c r="E991" s="36">
        <v>290</v>
      </c>
      <c r="F991" s="37">
        <f t="shared" ca="1" si="24"/>
        <v>36250</v>
      </c>
    </row>
    <row r="992" spans="1:6" ht="14.1" customHeight="1" x14ac:dyDescent="0.25">
      <c r="A992" s="33" t="s">
        <v>188</v>
      </c>
      <c r="B992" s="34" t="str">
        <f ca="1">IFERROR(INDEX(UNSPSCDes,MATCH(INDIRECT(ADDRESS(ROW(),COLUMN()-1,4)),UNSPSCCode,0)),IF(INDIRECT(ADDRESS(ROW(),COLUMN()-1,4))="14111506","Papel para impresión de computadores",""))</f>
        <v>Papel para impresión de computadores</v>
      </c>
      <c r="C992" s="35" t="str">
        <f>IFERROR(VLOOKUP("RESMA",'[1]Informacion '!P:Q,2,FALSE),"")</f>
        <v>Resma</v>
      </c>
      <c r="D992" s="33">
        <v>50</v>
      </c>
      <c r="E992" s="36">
        <v>275</v>
      </c>
      <c r="F992" s="37">
        <f t="shared" ca="1" si="24"/>
        <v>13750</v>
      </c>
    </row>
    <row r="993" spans="1:6" ht="14.1" customHeight="1" x14ac:dyDescent="0.25">
      <c r="A993" s="33" t="s">
        <v>189</v>
      </c>
      <c r="B993" s="34" t="str">
        <f ca="1">IFERROR(INDEX(UNSPSCDes,MATCH(INDIRECT(ADDRESS(ROW(),COLUMN()-1,4)),UNSPSCCode,0)),IF(INDIRECT(ADDRESS(ROW(),COLUMN()-1,4))="44122107","Grapas",""))</f>
        <v>Grapas</v>
      </c>
      <c r="C993" s="35" t="str">
        <f>IFERROR(VLOOKUP("CAJ",'[1]Informacion '!P:Q,2,FALSE),"")</f>
        <v>Caja</v>
      </c>
      <c r="D993" s="33">
        <v>25</v>
      </c>
      <c r="E993" s="36">
        <v>36</v>
      </c>
      <c r="F993" s="37">
        <f t="shared" ca="1" si="24"/>
        <v>900</v>
      </c>
    </row>
    <row r="994" spans="1:6" ht="14.1" customHeight="1" x14ac:dyDescent="0.25">
      <c r="A994" s="33" t="s">
        <v>180</v>
      </c>
      <c r="B994" s="34" t="str">
        <f ca="1">IFERROR(INDEX(UNSPSCDes,MATCH(INDIRECT(ADDRESS(ROW(),COLUMN()-1,4)),UNSPSCCode,0)),IF(INDIRECT(ADDRESS(ROW(),COLUMN()-1,4))="44122005","Cubiertas para revistas o libros",""))</f>
        <v>Cubiertas para revistas o libros</v>
      </c>
      <c r="C994" s="35" t="str">
        <f>IFERROR(VLOOKUP("PAQ",'[1]Informacion '!P:Q,2,FALSE),"")</f>
        <v>Paquete</v>
      </c>
      <c r="D994" s="33">
        <v>20</v>
      </c>
      <c r="E994" s="36">
        <v>325</v>
      </c>
      <c r="F994" s="37">
        <f t="shared" ca="1" si="24"/>
        <v>6500</v>
      </c>
    </row>
    <row r="995" spans="1:6" ht="14.1" customHeight="1" x14ac:dyDescent="0.25">
      <c r="A995" s="33" t="s">
        <v>182</v>
      </c>
      <c r="B995" s="34" t="str">
        <f ca="1">IFERROR(INDEX(UNSPSCDes,MATCH(INDIRECT(ADDRESS(ROW(),COLUMN()-1,4)),UNSPSCCode,0)),IF(INDIRECT(ADDRESS(ROW(),COLUMN()-1,4))="44122104","Clips para papel",""))</f>
        <v>Clips para papel</v>
      </c>
      <c r="C995" s="35" t="str">
        <f>IFERROR(VLOOKUP("CAJ",'[1]Informacion '!P:Q,2,FALSE),"")</f>
        <v>Caja</v>
      </c>
      <c r="D995" s="33">
        <v>100</v>
      </c>
      <c r="E995" s="36">
        <v>120</v>
      </c>
      <c r="F995" s="37">
        <f t="shared" ca="1" si="24"/>
        <v>12000</v>
      </c>
    </row>
    <row r="996" spans="1:6" ht="14.1" customHeight="1" x14ac:dyDescent="0.25">
      <c r="A996" s="33" t="s">
        <v>190</v>
      </c>
      <c r="B996" s="34" t="str">
        <f ca="1">IFERROR(INDEX(UNSPSCDes,MATCH(INDIRECT(ADDRESS(ROW(),COLUMN()-1,4)),UNSPSCCode,0)),IF(INDIRECT(ADDRESS(ROW(),COLUMN()-1,4))="44121701","Bolígrafos",""))</f>
        <v>Bolígrafos</v>
      </c>
      <c r="C996" s="35" t="str">
        <f>IFERROR(VLOOKUP("CAJ",'[1]Informacion '!P:Q,2,FALSE),"")</f>
        <v>Caja</v>
      </c>
      <c r="D996" s="33">
        <v>10</v>
      </c>
      <c r="E996" s="36">
        <v>155</v>
      </c>
      <c r="F996" s="37">
        <f t="shared" ca="1" si="24"/>
        <v>1550</v>
      </c>
    </row>
    <row r="997" spans="1:6" ht="14.1" customHeight="1" x14ac:dyDescent="0.25">
      <c r="A997" s="33" t="s">
        <v>191</v>
      </c>
      <c r="B997" s="34" t="str">
        <f ca="1">IFERROR(INDEX(UNSPSCDes,MATCH(INDIRECT(ADDRESS(ROW(),COLUMN()-1,4)),UNSPSCCode,0)),IF(INDIRECT(ADDRESS(ROW(),COLUMN()-1,4))="41111604","Reglas",""))</f>
        <v>Reglas</v>
      </c>
      <c r="C997" s="35" t="str">
        <f>IFERROR(VLOOKUP("UD",'[1]Informacion '!P:Q,2,FALSE),"")</f>
        <v>Unidad</v>
      </c>
      <c r="D997" s="33">
        <v>50</v>
      </c>
      <c r="E997" s="36">
        <v>7</v>
      </c>
      <c r="F997" s="37">
        <f t="shared" ca="1" si="24"/>
        <v>350</v>
      </c>
    </row>
    <row r="998" spans="1:6" ht="14.1" customHeight="1" x14ac:dyDescent="0.25">
      <c r="A998" s="33" t="s">
        <v>190</v>
      </c>
      <c r="B998" s="34" t="str">
        <f ca="1">IFERROR(INDEX(UNSPSCDes,MATCH(INDIRECT(ADDRESS(ROW(),COLUMN()-1,4)),UNSPSCCode,0)),IF(INDIRECT(ADDRESS(ROW(),COLUMN()-1,4))="44121701","Bolígrafos",""))</f>
        <v>Bolígrafos</v>
      </c>
      <c r="C998" s="35" t="str">
        <f>IFERROR(VLOOKUP("CAJ",'[1]Informacion '!P:Q,2,FALSE),"")</f>
        <v>Caja</v>
      </c>
      <c r="D998" s="33">
        <v>4</v>
      </c>
      <c r="E998" s="36">
        <v>225</v>
      </c>
      <c r="F998" s="37">
        <f t="shared" ca="1" si="24"/>
        <v>900</v>
      </c>
    </row>
    <row r="999" spans="1:6" ht="14.1" customHeight="1" x14ac:dyDescent="0.25">
      <c r="A999" s="33" t="s">
        <v>147</v>
      </c>
      <c r="B999" s="34" t="str">
        <f ca="1">IFERROR(INDEX(UNSPSCDes,MATCH(INDIRECT(ADDRESS(ROW(),COLUMN()-1,4)),UNSPSCCode,0)),IF(INDIRECT(ADDRESS(ROW(),COLUMN()-1,4))="31201610","Pegamentos",""))</f>
        <v>Pegamentos</v>
      </c>
      <c r="C999" s="35" t="str">
        <f>IFERROR(VLOOKUP("UD",'[1]Informacion '!P:Q,2,FALSE),"")</f>
        <v>Unidad</v>
      </c>
      <c r="D999" s="33">
        <v>24</v>
      </c>
      <c r="E999" s="36">
        <v>92.4</v>
      </c>
      <c r="F999" s="37">
        <f t="shared" ca="1" si="24"/>
        <v>2217.6000000000004</v>
      </c>
    </row>
    <row r="1000" spans="1:6" ht="14.1" customHeight="1" x14ac:dyDescent="0.25">
      <c r="A1000" s="33" t="s">
        <v>147</v>
      </c>
      <c r="B1000" s="34" t="str">
        <f ca="1">IFERROR(INDEX(UNSPSCDes,MATCH(INDIRECT(ADDRESS(ROW(),COLUMN()-1,4)),UNSPSCCode,0)),IF(INDIRECT(ADDRESS(ROW(),COLUMN()-1,4))="31201610","Pegamentos",""))</f>
        <v>Pegamentos</v>
      </c>
      <c r="C1000" s="35" t="str">
        <f>IFERROR(VLOOKUP("CAJ",'[1]Informacion '!P:Q,2,FALSE),"")</f>
        <v>Caja</v>
      </c>
      <c r="D1000" s="33">
        <v>10</v>
      </c>
      <c r="E1000" s="36">
        <v>640</v>
      </c>
      <c r="F1000" s="37">
        <f t="shared" ca="1" si="24"/>
        <v>6400</v>
      </c>
    </row>
    <row r="1001" spans="1:6" ht="14.1" customHeight="1" x14ac:dyDescent="0.25">
      <c r="A1001" s="33" t="s">
        <v>192</v>
      </c>
      <c r="B1001" s="34" t="str">
        <f ca="1">IFERROR(INDEX(UNSPSCDes,MATCH(INDIRECT(ADDRESS(ROW(),COLUMN()-1,4)),UNSPSCCode,0)),IF(INDIRECT(ADDRESS(ROW(),COLUMN()-1,4))="14111537","Etiquetas de papel",""))</f>
        <v>Etiquetas de papel</v>
      </c>
      <c r="C1001" s="35" t="str">
        <f>IFERROR(VLOOKUP("CAJ",'[1]Informacion '!P:Q,2,FALSE),"")</f>
        <v>Caja</v>
      </c>
      <c r="D1001" s="33">
        <v>2</v>
      </c>
      <c r="E1001" s="36">
        <v>555</v>
      </c>
      <c r="F1001" s="37">
        <f t="shared" ca="1" si="24"/>
        <v>1110</v>
      </c>
    </row>
    <row r="1002" spans="1:6" ht="14.1" customHeight="1" x14ac:dyDescent="0.25">
      <c r="A1002" s="33" t="s">
        <v>192</v>
      </c>
      <c r="B1002" s="34" t="str">
        <f ca="1">IFERROR(INDEX(UNSPSCDes,MATCH(INDIRECT(ADDRESS(ROW(),COLUMN()-1,4)),UNSPSCCode,0)),IF(INDIRECT(ADDRESS(ROW(),COLUMN()-1,4))="14111537","Etiquetas de papel",""))</f>
        <v>Etiquetas de papel</v>
      </c>
      <c r="C1002" s="35" t="str">
        <f>IFERROR(VLOOKUP("CAJ",'[1]Informacion '!P:Q,2,FALSE),"")</f>
        <v>Caja</v>
      </c>
      <c r="D1002" s="33">
        <v>2</v>
      </c>
      <c r="E1002" s="36">
        <v>955</v>
      </c>
      <c r="F1002" s="37">
        <f t="shared" ca="1" si="24"/>
        <v>1910</v>
      </c>
    </row>
    <row r="1003" spans="1:6" ht="14.1" customHeight="1" x14ac:dyDescent="0.25">
      <c r="A1003" s="33" t="s">
        <v>193</v>
      </c>
      <c r="B1003" s="34" t="str">
        <f ca="1">IFERROR(INDEX(UNSPSCDes,MATCH(INDIRECT(ADDRESS(ROW(),COLUMN()-1,4)),UNSPSCCode,0)),IF(INDIRECT(ADDRESS(ROW(),COLUMN()-1,4))="60103107","Bandas elásticas para tableros geométricos",""))</f>
        <v>Bandas elásticas para tableros geométricos</v>
      </c>
      <c r="C1003" s="35" t="str">
        <f>IFERROR(VLOOKUP("CAJ",'[1]Informacion '!P:Q,2,FALSE),"")</f>
        <v>Caja</v>
      </c>
      <c r="D1003" s="33">
        <v>50</v>
      </c>
      <c r="E1003" s="36">
        <v>30</v>
      </c>
      <c r="F1003" s="37">
        <f t="shared" ca="1" si="24"/>
        <v>1500</v>
      </c>
    </row>
    <row r="1004" spans="1:6" ht="14.1" customHeight="1" x14ac:dyDescent="0.25">
      <c r="A1004" s="33" t="s">
        <v>194</v>
      </c>
      <c r="B1004" s="34" t="str">
        <f ca="1">IFERROR(INDEX(UNSPSCDes,MATCH(INDIRECT(ADDRESS(ROW(),COLUMN()-1,4)),UNSPSCCode,0)),IF(INDIRECT(ADDRESS(ROW(),COLUMN()-1,4))="14111531","Papel libros o cuadernos para bitácoras",""))</f>
        <v>Papel libros o cuadernos para bitácoras</v>
      </c>
      <c r="C1004" s="35" t="str">
        <f>IFERROR(VLOOKUP("UD",'[1]Informacion '!P:Q,2,FALSE),"")</f>
        <v>Unidad</v>
      </c>
      <c r="D1004" s="33">
        <v>10</v>
      </c>
      <c r="E1004" s="36">
        <v>256</v>
      </c>
      <c r="F1004" s="37">
        <f t="shared" ca="1" si="24"/>
        <v>2560</v>
      </c>
    </row>
    <row r="1005" spans="1:6" ht="14.1" customHeight="1" x14ac:dyDescent="0.25">
      <c r="A1005" s="33" t="s">
        <v>193</v>
      </c>
      <c r="B1005" s="34" t="str">
        <f ca="1">IFERROR(INDEX(UNSPSCDes,MATCH(INDIRECT(ADDRESS(ROW(),COLUMN()-1,4)),UNSPSCCode,0)),IF(INDIRECT(ADDRESS(ROW(),COLUMN()-1,4))="60103107","Bandas elásticas para tableros geométricos",""))</f>
        <v>Bandas elásticas para tableros geométricos</v>
      </c>
      <c r="C1005" s="35" t="str">
        <f>IFERROR(VLOOKUP("CAJ",'[1]Informacion '!P:Q,2,FALSE),"")</f>
        <v>Caja</v>
      </c>
      <c r="D1005" s="33">
        <v>50</v>
      </c>
      <c r="E1005" s="36">
        <v>30</v>
      </c>
      <c r="F1005" s="37">
        <f t="shared" ca="1" si="24"/>
        <v>1500</v>
      </c>
    </row>
    <row r="1006" spans="1:6" ht="14.1" customHeight="1" x14ac:dyDescent="0.25">
      <c r="A1006" s="33" t="s">
        <v>194</v>
      </c>
      <c r="B1006" s="34" t="str">
        <f ca="1">IFERROR(INDEX(UNSPSCDes,MATCH(INDIRECT(ADDRESS(ROW(),COLUMN()-1,4)),UNSPSCCode,0)),IF(INDIRECT(ADDRESS(ROW(),COLUMN()-1,4))="14111531","Papel libros o cuadernos para bitácoras",""))</f>
        <v>Papel libros o cuadernos para bitácoras</v>
      </c>
      <c r="C1006" s="35" t="str">
        <f>IFERROR(VLOOKUP("UD",'[1]Informacion '!P:Q,2,FALSE),"")</f>
        <v>Unidad</v>
      </c>
      <c r="D1006" s="33">
        <v>10</v>
      </c>
      <c r="E1006" s="36">
        <v>256</v>
      </c>
      <c r="F1006" s="37">
        <f t="shared" ca="1" si="24"/>
        <v>2560</v>
      </c>
    </row>
    <row r="1007" spans="1:6" ht="14.1" customHeight="1" x14ac:dyDescent="0.25">
      <c r="A1007" s="33" t="s">
        <v>195</v>
      </c>
      <c r="B1007" s="34" t="str">
        <f ca="1">IFERROR(INDEX(UNSPSCDes,MATCH(INDIRECT(ADDRESS(ROW(),COLUMN()-1,4)),UNSPSCCode,0)),IF(INDIRECT(ADDRESS(ROW(),COLUMN()-1,4))="44112001","Libretas de direcciones o repuestos",""))</f>
        <v>Libretas de direcciones o repuestos</v>
      </c>
      <c r="C1007" s="35" t="str">
        <f>IFERROR(VLOOKUP("UD",'[1]Informacion '!P:Q,2,FALSE),"")</f>
        <v>Unidad</v>
      </c>
      <c r="D1007" s="33">
        <v>48</v>
      </c>
      <c r="E1007" s="36">
        <v>18.38</v>
      </c>
      <c r="F1007" s="37">
        <f t="shared" ca="1" si="24"/>
        <v>882.24</v>
      </c>
    </row>
    <row r="1008" spans="1:6" ht="14.1" customHeight="1" x14ac:dyDescent="0.25">
      <c r="A1008" s="33" t="s">
        <v>196</v>
      </c>
      <c r="B1008" s="34" t="str">
        <f ca="1">IFERROR(INDEX(UNSPSCDes,MATCH(INDIRECT(ADDRESS(ROW(),COLUMN()-1,4)),UNSPSCCode,0)),IF(INDIRECT(ADDRESS(ROW(),COLUMN()-1,4))="44112005","Libretas de citas o repuestos",""))</f>
        <v>Libretas de citas o repuestos</v>
      </c>
      <c r="C1008" s="35" t="str">
        <f>IFERROR(VLOOKUP("UD",'[1]Informacion '!P:Q,2,FALSE),"")</f>
        <v>Unidad</v>
      </c>
      <c r="D1008" s="33">
        <v>30</v>
      </c>
      <c r="E1008" s="36">
        <v>181</v>
      </c>
      <c r="F1008" s="37">
        <f t="shared" ca="1" si="24"/>
        <v>5430</v>
      </c>
    </row>
    <row r="1009" spans="1:6" ht="14.1" customHeight="1" x14ac:dyDescent="0.25">
      <c r="A1009" s="33" t="s">
        <v>197</v>
      </c>
      <c r="B1009" s="34" t="str">
        <f ca="1">IFERROR(INDEX(UNSPSCDes,MATCH(INDIRECT(ADDRESS(ROW(),COLUMN()-1,4)),UNSPSCCode,0)),IF(INDIRECT(ADDRESS(ROW(),COLUMN()-1,4))="44111513","Soportes para diarios o calendarios",""))</f>
        <v>Soportes para diarios o calendarios</v>
      </c>
      <c r="C1009" s="35" t="str">
        <f>IFERROR(VLOOKUP("UD",'[1]Informacion '!P:Q,2,FALSE),"")</f>
        <v>Unidad</v>
      </c>
      <c r="D1009" s="33">
        <v>10</v>
      </c>
      <c r="E1009" s="36">
        <v>130</v>
      </c>
      <c r="F1009" s="37">
        <f t="shared" ca="1" si="24"/>
        <v>1300</v>
      </c>
    </row>
    <row r="1010" spans="1:6" ht="14.1" customHeight="1" x14ac:dyDescent="0.25">
      <c r="A1010" s="33" t="s">
        <v>198</v>
      </c>
      <c r="B1010" s="34" t="str">
        <f ca="1">IFERROR(INDEX(UNSPSCDes,MATCH(INDIRECT(ADDRESS(ROW(),COLUMN()-1,4)),UNSPSCCode,0)),IF(INDIRECT(ADDRESS(ROW(),COLUMN()-1,4))="14111530","Papel de notas autoadhesivas",""))</f>
        <v>Papel de notas autoadhesivas</v>
      </c>
      <c r="C1010" s="35" t="str">
        <f>IFERROR(VLOOKUP("UD",'[1]Informacion '!P:Q,2,FALSE),"")</f>
        <v>Unidad</v>
      </c>
      <c r="D1010" s="33">
        <v>80</v>
      </c>
      <c r="E1010" s="36">
        <v>17</v>
      </c>
      <c r="F1010" s="37">
        <f t="shared" ca="1" si="24"/>
        <v>1360</v>
      </c>
    </row>
    <row r="1011" spans="1:6" ht="14.1" customHeight="1" x14ac:dyDescent="0.25">
      <c r="A1011" s="33" t="s">
        <v>199</v>
      </c>
      <c r="B1011" s="34" t="str">
        <f ca="1">IFERROR(INDEX(UNSPSCDes,MATCH(INDIRECT(ADDRESS(ROW(),COLUMN()-1,4)),UNSPSCCode,0)),IF(INDIRECT(ADDRESS(ROW(),COLUMN()-1,4))="44122011","Folders",""))</f>
        <v>Folders</v>
      </c>
      <c r="C1011" s="35" t="str">
        <f>IFERROR(VLOOKUP("CAJ",'[1]Informacion '!P:Q,2,FALSE),"")</f>
        <v>Caja</v>
      </c>
      <c r="D1011" s="33">
        <v>50</v>
      </c>
      <c r="E1011" s="36">
        <v>238</v>
      </c>
      <c r="F1011" s="37">
        <f t="shared" ca="1" si="24"/>
        <v>11900</v>
      </c>
    </row>
    <row r="1012" spans="1:6" ht="14.1" customHeight="1" x14ac:dyDescent="0.25">
      <c r="A1012" s="33" t="s">
        <v>199</v>
      </c>
      <c r="B1012" s="34" t="str">
        <f ca="1">IFERROR(INDEX(UNSPSCDes,MATCH(INDIRECT(ADDRESS(ROW(),COLUMN()-1,4)),UNSPSCCode,0)),IF(INDIRECT(ADDRESS(ROW(),COLUMN()-1,4))="44122011","Folders",""))</f>
        <v>Folders</v>
      </c>
      <c r="C1012" s="35" t="str">
        <f>IFERROR(VLOOKUP("CAJ",'[1]Informacion '!P:Q,2,FALSE),"")</f>
        <v>Caja</v>
      </c>
      <c r="D1012" s="33">
        <v>10</v>
      </c>
      <c r="E1012" s="36">
        <v>350</v>
      </c>
      <c r="F1012" s="37">
        <f t="shared" ca="1" si="24"/>
        <v>3500</v>
      </c>
    </row>
    <row r="1013" spans="1:6" ht="14.1" customHeight="1" x14ac:dyDescent="0.25">
      <c r="A1013" s="33" t="s">
        <v>200</v>
      </c>
      <c r="B1013" s="34" t="str">
        <f ca="1">IFERROR(INDEX(UNSPSCDes,MATCH(INDIRECT(ADDRESS(ROW(),COLUMN()-1,4)),UNSPSCCode,0)),IF(INDIRECT(ADDRESS(ROW(),COLUMN()-1,4))="44122017","Folders de colgar o accesorios",""))</f>
        <v>Folders de colgar o accesorios</v>
      </c>
      <c r="C1013" s="35" t="str">
        <f>IFERROR(VLOOKUP("CAJ",'[1]Informacion '!P:Q,2,FALSE),"")</f>
        <v>Caja</v>
      </c>
      <c r="D1013" s="33">
        <v>8</v>
      </c>
      <c r="E1013" s="36">
        <v>534</v>
      </c>
      <c r="F1013" s="37">
        <f t="shared" ca="1" si="24"/>
        <v>4272</v>
      </c>
    </row>
    <row r="1014" spans="1:6" ht="14.1" customHeight="1" x14ac:dyDescent="0.25">
      <c r="A1014" s="33" t="s">
        <v>201</v>
      </c>
      <c r="B1014" s="34" t="str">
        <f ca="1">IFERROR(INDEX(UNSPSCDes,MATCH(INDIRECT(ADDRESS(ROW(),COLUMN()-1,4)),UNSPSCCode,0)),IF(INDIRECT(ADDRESS(ROW(),COLUMN()-1,4))="14111527","Papel autocopiante",""))</f>
        <v>Papel autocopiante</v>
      </c>
      <c r="C1014" s="35" t="str">
        <f>IFERROR(VLOOKUP("UD",'[1]Informacion '!P:Q,2,FALSE),"")</f>
        <v>Unidad</v>
      </c>
      <c r="D1014" s="33">
        <v>100</v>
      </c>
      <c r="E1014" s="36">
        <v>50</v>
      </c>
      <c r="F1014" s="37">
        <f t="shared" ca="1" si="24"/>
        <v>5000</v>
      </c>
    </row>
    <row r="1015" spans="1:6" ht="14.1" customHeight="1" x14ac:dyDescent="0.25">
      <c r="A1015" s="33" t="s">
        <v>202</v>
      </c>
      <c r="B1015" s="34" t="str">
        <f ca="1">IFERROR(INDEX(UNSPSCDes,MATCH(INDIRECT(ADDRESS(ROW(),COLUMN()-1,4)),UNSPSCCode,0)),IF(INDIRECT(ADDRESS(ROW(),COLUMN()-1,4))="14111515","Papel para sumadora o máquina registradora",""))</f>
        <v>Papel para sumadora o máquina registradora</v>
      </c>
      <c r="C1015" s="35" t="str">
        <f>IFERROR(VLOOKUP("UD",'[1]Informacion '!P:Q,2,FALSE),"")</f>
        <v>Unidad</v>
      </c>
      <c r="D1015" s="33">
        <v>125</v>
      </c>
      <c r="E1015" s="36">
        <v>18</v>
      </c>
      <c r="F1015" s="37">
        <f t="shared" ca="1" si="24"/>
        <v>2250</v>
      </c>
    </row>
    <row r="1016" spans="1:6" ht="14.1" customHeight="1" x14ac:dyDescent="0.25">
      <c r="A1016" s="33" t="s">
        <v>203</v>
      </c>
      <c r="B1016" s="34" t="str">
        <f ca="1">IFERROR(INDEX(UNSPSCDes,MATCH(INDIRECT(ADDRESS(ROW(),COLUMN()-1,4)),UNSPSCCode,0)),IF(INDIRECT(ADDRESS(ROW(),COLUMN()-1,4))="43211802","Almohadillas (pads) para mouse",""))</f>
        <v>Almohadillas (pads) para mouse</v>
      </c>
      <c r="C1016" s="35" t="str">
        <f>IFERROR(VLOOKUP("UD",'[1]Informacion '!P:Q,2,FALSE),"")</f>
        <v>Unidad</v>
      </c>
      <c r="D1016" s="33">
        <v>20</v>
      </c>
      <c r="E1016" s="36">
        <v>83</v>
      </c>
      <c r="F1016" s="37">
        <f t="shared" ca="1" si="24"/>
        <v>1660</v>
      </c>
    </row>
    <row r="1017" spans="1:6" ht="14.1" customHeight="1" x14ac:dyDescent="0.25">
      <c r="A1017" s="33" t="s">
        <v>204</v>
      </c>
      <c r="B1017" s="34" t="str">
        <f ca="1">IFERROR(INDEX(UNSPSCDes,MATCH(INDIRECT(ADDRESS(ROW(),COLUMN()-1,4)),UNSPSCCode,0)),IF(INDIRECT(ADDRESS(ROW(),COLUMN()-1,4))="43211708","Mouse o bola de seguimiento para computador",""))</f>
        <v>Mouse o bola de seguimiento para computador</v>
      </c>
      <c r="C1017" s="35" t="str">
        <f>IFERROR(VLOOKUP("UD",'[1]Informacion '!P:Q,2,FALSE),"")</f>
        <v>Unidad</v>
      </c>
      <c r="D1017" s="33">
        <v>10</v>
      </c>
      <c r="E1017" s="36">
        <v>300</v>
      </c>
      <c r="F1017" s="37">
        <f t="shared" ca="1" si="24"/>
        <v>3000</v>
      </c>
    </row>
    <row r="1018" spans="1:6" ht="14.1" customHeight="1" x14ac:dyDescent="0.25">
      <c r="A1018" s="33" t="s">
        <v>205</v>
      </c>
      <c r="B1018" s="34" t="str">
        <f ca="1">IFERROR(INDEX(UNSPSCDes,MATCH(INDIRECT(ADDRESS(ROW(),COLUMN()-1,4)),UNSPSCCode,0)),IF(INDIRECT(ADDRESS(ROW(),COLUMN()-1,4))="43211706","Teclados",""))</f>
        <v>Teclados</v>
      </c>
      <c r="C1018" s="35" t="str">
        <f>IFERROR(VLOOKUP("UD",'[1]Informacion '!P:Q,2,FALSE),"")</f>
        <v>Unidad</v>
      </c>
      <c r="D1018" s="33">
        <v>5</v>
      </c>
      <c r="E1018" s="36">
        <v>1600</v>
      </c>
      <c r="F1018" s="37">
        <f t="shared" ca="1" si="24"/>
        <v>8000</v>
      </c>
    </row>
    <row r="1019" spans="1:6" ht="14.1" customHeight="1" x14ac:dyDescent="0.25">
      <c r="A1019" s="33" t="s">
        <v>206</v>
      </c>
      <c r="B1019" s="34" t="str">
        <f ca="1">IFERROR(INDEX(UNSPSCDes,MATCH(INDIRECT(ADDRESS(ROW(),COLUMN()-1,4)),UNSPSCCode,0)),IF(INDIRECT(ADDRESS(ROW(),COLUMN()-1,4))="44122003","Carpetas",""))</f>
        <v>Carpetas</v>
      </c>
      <c r="C1019" s="35" t="str">
        <f>IFERROR(VLOOKUP("UD",'[1]Informacion '!P:Q,2,FALSE),"")</f>
        <v>Unidad</v>
      </c>
      <c r="D1019" s="33">
        <v>50</v>
      </c>
      <c r="E1019" s="36">
        <v>350</v>
      </c>
      <c r="F1019" s="37">
        <f t="shared" ca="1" si="24"/>
        <v>17500</v>
      </c>
    </row>
    <row r="1020" spans="1:6" ht="14.1" customHeight="1" x14ac:dyDescent="0.25">
      <c r="A1020" s="33" t="s">
        <v>206</v>
      </c>
      <c r="B1020" s="34" t="str">
        <f ca="1">IFERROR(INDEX(UNSPSCDes,MATCH(INDIRECT(ADDRESS(ROW(),COLUMN()-1,4)),UNSPSCCode,0)),IF(INDIRECT(ADDRESS(ROW(),COLUMN()-1,4))="44122003","Carpetas",""))</f>
        <v>Carpetas</v>
      </c>
      <c r="C1020" s="35" t="str">
        <f>IFERROR(VLOOKUP("UD",'[1]Informacion '!P:Q,2,FALSE),"")</f>
        <v>Unidad</v>
      </c>
      <c r="D1020" s="33">
        <v>50</v>
      </c>
      <c r="E1020" s="36">
        <v>505</v>
      </c>
      <c r="F1020" s="37">
        <f t="shared" ca="1" si="24"/>
        <v>25250</v>
      </c>
    </row>
    <row r="1021" spans="1:6" ht="14.1" customHeight="1" x14ac:dyDescent="0.25">
      <c r="A1021" s="33" t="s">
        <v>206</v>
      </c>
      <c r="B1021" s="34" t="str">
        <f ca="1">IFERROR(INDEX(UNSPSCDes,MATCH(INDIRECT(ADDRESS(ROW(),COLUMN()-1,4)),UNSPSCCode,0)),IF(INDIRECT(ADDRESS(ROW(),COLUMN()-1,4))="44122003","Carpetas",""))</f>
        <v>Carpetas</v>
      </c>
      <c r="C1021" s="35" t="str">
        <f>IFERROR(VLOOKUP("UD",'[1]Informacion '!P:Q,2,FALSE),"")</f>
        <v>Unidad</v>
      </c>
      <c r="D1021" s="33">
        <v>80</v>
      </c>
      <c r="E1021" s="36">
        <v>630</v>
      </c>
      <c r="F1021" s="37">
        <f t="shared" ca="1" si="24"/>
        <v>50400</v>
      </c>
    </row>
    <row r="1022" spans="1:6" ht="14.1" customHeight="1" x14ac:dyDescent="0.25">
      <c r="A1022" s="33" t="s">
        <v>207</v>
      </c>
      <c r="B1022" s="34" t="str">
        <f ca="1">IFERROR(INDEX(UNSPSCDes,MATCH(INDIRECT(ADDRESS(ROW(),COLUMN()-1,4)),UNSPSCCode,0)),IF(INDIRECT(ADDRESS(ROW(),COLUMN()-1,4))="44121708","Marcadores",""))</f>
        <v>Marcadores</v>
      </c>
      <c r="C1022" s="35" t="str">
        <f>IFERROR(VLOOKUP("UD",'[1]Informacion '!P:Q,2,FALSE),"")</f>
        <v>Unidad</v>
      </c>
      <c r="D1022" s="33">
        <v>36</v>
      </c>
      <c r="E1022" s="36">
        <v>25</v>
      </c>
      <c r="F1022" s="37">
        <f t="shared" ca="1" si="24"/>
        <v>900</v>
      </c>
    </row>
    <row r="1023" spans="1:6" ht="14.1" customHeight="1" x14ac:dyDescent="0.25">
      <c r="A1023" s="33" t="s">
        <v>208</v>
      </c>
      <c r="B1023" s="34" t="str">
        <f ca="1">IFERROR(INDEX(UNSPSCDes,MATCH(INDIRECT(ADDRESS(ROW(),COLUMN()-1,4)),UNSPSCCode,0)),IF(INDIRECT(ADDRESS(ROW(),COLUMN()-1,4))="44111503","Organizadores o bandejas para el escritorio",""))</f>
        <v>Organizadores o bandejas para el escritorio</v>
      </c>
      <c r="C1023" s="35" t="str">
        <f>IFERROR(VLOOKUP("UD",'[1]Informacion '!P:Q,2,FALSE),"")</f>
        <v>Unidad</v>
      </c>
      <c r="D1023" s="33">
        <v>24</v>
      </c>
      <c r="E1023" s="36">
        <v>580</v>
      </c>
      <c r="F1023" s="37">
        <f t="shared" ca="1" si="24"/>
        <v>13920</v>
      </c>
    </row>
    <row r="1024" spans="1:6" ht="14.1" customHeight="1" x14ac:dyDescent="0.25">
      <c r="A1024" s="33" t="s">
        <v>209</v>
      </c>
      <c r="B1024" s="34" t="str">
        <f ca="1">IFERROR(INDEX(UNSPSCDes,MATCH(INDIRECT(ADDRESS(ROW(),COLUMN()-1,4)),UNSPSCCode,0)),IF(INDIRECT(ADDRESS(ROW(),COLUMN()-1,4))="44103112","Cinta de impresora",""))</f>
        <v>Cinta de impresora</v>
      </c>
      <c r="C1024" s="35" t="str">
        <f>IFERROR(VLOOKUP("UD",'[1]Informacion '!P:Q,2,FALSE),"")</f>
        <v>Unidad</v>
      </c>
      <c r="D1024" s="33">
        <v>10</v>
      </c>
      <c r="E1024" s="36">
        <v>1900</v>
      </c>
      <c r="F1024" s="37">
        <f t="shared" ca="1" si="24"/>
        <v>19000</v>
      </c>
    </row>
    <row r="1025" spans="1:6" ht="14.1" customHeight="1" x14ac:dyDescent="0.25">
      <c r="A1025" s="33" t="s">
        <v>210</v>
      </c>
      <c r="B1025" s="34" t="str">
        <f ca="1">IFERROR(INDEX(UNSPSCDes,MATCH(INDIRECT(ADDRESS(ROW(),COLUMN()-1,4)),UNSPSCCode,0)),IF(INDIRECT(ADDRESS(ROW(),COLUMN()-1,4))="44102606","Cinta de máquinas de escribir",""))</f>
        <v>Cinta de máquinas de escribir</v>
      </c>
      <c r="C1025" s="35" t="str">
        <f>IFERROR(VLOOKUP("UD",'[1]Informacion '!P:Q,2,FALSE),"")</f>
        <v>Unidad</v>
      </c>
      <c r="D1025" s="33">
        <v>30</v>
      </c>
      <c r="E1025" s="36">
        <v>60</v>
      </c>
      <c r="F1025" s="37">
        <f t="shared" ca="1" si="24"/>
        <v>1800</v>
      </c>
    </row>
    <row r="1026" spans="1:6" ht="14.1" customHeight="1" x14ac:dyDescent="0.25">
      <c r="A1026" s="33" t="s">
        <v>211</v>
      </c>
      <c r="B1026" s="34" t="str">
        <f ca="1">IFERROR(INDEX(UNSPSCDes,MATCH(INDIRECT(ADDRESS(ROW(),COLUMN()-1,4)),UNSPSCCode,0)),IF(INDIRECT(ADDRESS(ROW(),COLUMN()-1,4))="31201512","Cinta transparente",""))</f>
        <v>Cinta transparente</v>
      </c>
      <c r="C1026" s="35" t="str">
        <f>IFERROR(VLOOKUP("UD",'[1]Informacion '!P:Q,2,FALSE),"")</f>
        <v>Unidad</v>
      </c>
      <c r="D1026" s="33">
        <v>36</v>
      </c>
      <c r="E1026" s="36">
        <v>85</v>
      </c>
      <c r="F1026" s="37">
        <f t="shared" ca="1" si="24"/>
        <v>3060</v>
      </c>
    </row>
    <row r="1027" spans="1:6" ht="14.1" customHeight="1" x14ac:dyDescent="0.25">
      <c r="A1027" s="33" t="s">
        <v>211</v>
      </c>
      <c r="B1027" s="34" t="str">
        <f ca="1">IFERROR(INDEX(UNSPSCDes,MATCH(INDIRECT(ADDRESS(ROW(),COLUMN()-1,4)),UNSPSCCode,0)),IF(INDIRECT(ADDRESS(ROW(),COLUMN()-1,4))="31201512","Cinta transparente",""))</f>
        <v>Cinta transparente</v>
      </c>
      <c r="C1027" s="35" t="str">
        <f>IFERROR(VLOOKUP("UD",'[1]Informacion '!P:Q,2,FALSE),"")</f>
        <v>Unidad</v>
      </c>
      <c r="D1027" s="33">
        <v>40</v>
      </c>
      <c r="E1027" s="36">
        <v>72</v>
      </c>
      <c r="F1027" s="37">
        <f t="shared" ca="1" si="24"/>
        <v>2880</v>
      </c>
    </row>
    <row r="1028" spans="1:6" ht="14.1" customHeight="1" x14ac:dyDescent="0.25">
      <c r="A1028" s="33" t="s">
        <v>212</v>
      </c>
      <c r="B1028" s="34" t="str">
        <f ca="1">IFERROR(INDEX(UNSPSCDes,MATCH(INDIRECT(ADDRESS(ROW(),COLUMN()-1,4)),UNSPSCCode,0)),IF(INDIRECT(ADDRESS(ROW(),COLUMN()-1,4))="44121605","Dispensadores de cinta",""))</f>
        <v>Dispensadores de cinta</v>
      </c>
      <c r="C1028" s="35" t="str">
        <f>IFERROR(VLOOKUP("UD",'[1]Informacion '!P:Q,2,FALSE),"")</f>
        <v>Unidad</v>
      </c>
      <c r="D1028" s="33">
        <v>10</v>
      </c>
      <c r="E1028" s="36">
        <v>95</v>
      </c>
      <c r="F1028" s="37">
        <f t="shared" ca="1" si="24"/>
        <v>950</v>
      </c>
    </row>
    <row r="1029" spans="1:6" ht="14.1" customHeight="1" x14ac:dyDescent="0.25">
      <c r="A1029" s="33" t="s">
        <v>213</v>
      </c>
      <c r="B1029" s="34" t="str">
        <f ca="1">IFERROR(INDEX(UNSPSCDes,MATCH(INDIRECT(ADDRESS(ROW(),COLUMN()-1,4)),UNSPSCCode,0)),IF(INDIRECT(ADDRESS(ROW(),COLUMN()-1,4))="44121628","Contenedores o dispensadores de clips",""))</f>
        <v>Contenedores o dispensadores de clips</v>
      </c>
      <c r="C1029" s="35" t="str">
        <f>IFERROR(VLOOKUP("UD",'[1]Informacion '!P:Q,2,FALSE),"")</f>
        <v>Unidad</v>
      </c>
      <c r="D1029" s="33">
        <v>15</v>
      </c>
      <c r="E1029" s="36">
        <v>33</v>
      </c>
      <c r="F1029" s="37">
        <f t="shared" ca="1" si="24"/>
        <v>495</v>
      </c>
    </row>
    <row r="1030" spans="1:6" ht="14.1" customHeight="1" x14ac:dyDescent="0.25">
      <c r="A1030" s="33" t="s">
        <v>214</v>
      </c>
      <c r="B1030" s="34" t="str">
        <f ca="1">IFERROR(INDEX(UNSPSCDes,MATCH(INDIRECT(ADDRESS(ROW(),COLUMN()-1,4)),UNSPSCCode,0)),IF(INDIRECT(ADDRESS(ROW(),COLUMN()-1,4))="44121904","Repuestos de tinta",""))</f>
        <v>Repuestos de tinta</v>
      </c>
      <c r="C1030" s="35" t="str">
        <f>IFERROR(VLOOKUP("UD",'[1]Informacion '!P:Q,2,FALSE),"")</f>
        <v>Unidad</v>
      </c>
      <c r="D1030" s="33">
        <v>5</v>
      </c>
      <c r="E1030" s="36">
        <v>38</v>
      </c>
      <c r="F1030" s="37">
        <f t="shared" ca="1" si="24"/>
        <v>190</v>
      </c>
    </row>
    <row r="1031" spans="1:6" ht="14.1" customHeight="1" x14ac:dyDescent="0.25">
      <c r="A1031" s="33" t="s">
        <v>215</v>
      </c>
      <c r="B1031" s="34" t="str">
        <f ca="1">IFERROR(INDEX(UNSPSCDes,MATCH(INDIRECT(ADDRESS(ROW(),COLUMN()-1,4)),UNSPSCCode,0)),IF(INDIRECT(ADDRESS(ROW(),COLUMN()-1,4))="44122016","Sujetador de documentos",""))</f>
        <v>Sujetador de documentos</v>
      </c>
      <c r="C1031" s="35" t="str">
        <f>IFERROR(VLOOKUP("CAJ",'[1]Informacion '!P:Q,2,FALSE),"")</f>
        <v>Caja</v>
      </c>
      <c r="D1031" s="33">
        <v>50</v>
      </c>
      <c r="E1031" s="36">
        <v>65</v>
      </c>
      <c r="F1031" s="37">
        <f t="shared" ca="1" si="24"/>
        <v>3250</v>
      </c>
    </row>
    <row r="1032" spans="1:6" ht="14.1" customHeight="1" x14ac:dyDescent="0.25">
      <c r="A1032" s="33" t="s">
        <v>216</v>
      </c>
      <c r="B1032" s="34" t="str">
        <f ca="1">IFERROR(INDEX(UNSPSCDes,MATCH(INDIRECT(ADDRESS(ROW(),COLUMN()-1,4)),UNSPSCCode,0)),IF(INDIRECT(ADDRESS(ROW(),COLUMN()-1,4))="44101602","Máquinas perforadoras o para unir papel",""))</f>
        <v>Máquinas perforadoras o para unir papel</v>
      </c>
      <c r="C1032" s="35" t="str">
        <f>IFERROR(VLOOKUP("UD",'[1]Informacion '!P:Q,2,FALSE),"")</f>
        <v>Unidad</v>
      </c>
      <c r="D1032" s="33">
        <v>3</v>
      </c>
      <c r="E1032" s="36">
        <v>3150</v>
      </c>
      <c r="F1032" s="37">
        <f t="shared" ca="1" si="24"/>
        <v>9450</v>
      </c>
    </row>
    <row r="1033" spans="1:6" ht="14.1" customHeight="1" x14ac:dyDescent="0.25">
      <c r="A1033" s="33" t="s">
        <v>216</v>
      </c>
      <c r="B1033" s="34" t="str">
        <f ca="1">IFERROR(INDEX(UNSPSCDes,MATCH(INDIRECT(ADDRESS(ROW(),COLUMN()-1,4)),UNSPSCCode,0)),IF(INDIRECT(ADDRESS(ROW(),COLUMN()-1,4))="44101602","Máquinas perforadoras o para unir papel",""))</f>
        <v>Máquinas perforadoras o para unir papel</v>
      </c>
      <c r="C1033" s="35" t="str">
        <f>IFERROR(VLOOKUP("UD",'[1]Informacion '!P:Q,2,FALSE),"")</f>
        <v>Unidad</v>
      </c>
      <c r="D1033" s="33">
        <v>10</v>
      </c>
      <c r="E1033" s="36">
        <v>455</v>
      </c>
      <c r="F1033" s="37">
        <f t="shared" ca="1" si="24"/>
        <v>4550</v>
      </c>
    </row>
    <row r="1034" spans="1:6" ht="14.1" customHeight="1" x14ac:dyDescent="0.25">
      <c r="A1034" s="33" t="s">
        <v>218</v>
      </c>
      <c r="B1034" s="34" t="str">
        <f ca="1">IFERROR(INDEX(UNSPSCDes,MATCH(INDIRECT(ADDRESS(ROW(),COLUMN()-1,4)),UNSPSCCode,0)),IF(INDIRECT(ADDRESS(ROW(),COLUMN()-1,4))="44103504","Alambres o espirales de encuadernación",""))</f>
        <v>Alambres o espirales de encuadernación</v>
      </c>
      <c r="C1034" s="35" t="str">
        <f>IFERROR(VLOOKUP("CAJ",'[1]Informacion '!P:Q,2,FALSE),"")</f>
        <v>Caja</v>
      </c>
      <c r="D1034" s="33">
        <v>5</v>
      </c>
      <c r="E1034" s="36">
        <v>495</v>
      </c>
      <c r="F1034" s="37">
        <f t="shared" ca="1" si="24"/>
        <v>2475</v>
      </c>
    </row>
    <row r="1035" spans="1:6" ht="14.1" customHeight="1" x14ac:dyDescent="0.25">
      <c r="A1035" s="33" t="s">
        <v>218</v>
      </c>
      <c r="B1035" s="34" t="str">
        <f ca="1">IFERROR(INDEX(UNSPSCDes,MATCH(INDIRECT(ADDRESS(ROW(),COLUMN()-1,4)),UNSPSCCode,0)),IF(INDIRECT(ADDRESS(ROW(),COLUMN()-1,4))="44103504","Alambres o espirales de encuadernación",""))</f>
        <v>Alambres o espirales de encuadernación</v>
      </c>
      <c r="C1035" s="35" t="str">
        <f>IFERROR(VLOOKUP("CAJ",'[1]Informacion '!P:Q,2,FALSE),"")</f>
        <v>Caja</v>
      </c>
      <c r="D1035" s="33">
        <v>5</v>
      </c>
      <c r="E1035" s="36">
        <v>571</v>
      </c>
      <c r="F1035" s="37">
        <f t="shared" ca="1" si="24"/>
        <v>2855</v>
      </c>
    </row>
    <row r="1036" spans="1:6" ht="14.1" customHeight="1" x14ac:dyDescent="0.25">
      <c r="A1036" s="33" t="s">
        <v>218</v>
      </c>
      <c r="B1036" s="34" t="str">
        <f ca="1">IFERROR(INDEX(UNSPSCDes,MATCH(INDIRECT(ADDRESS(ROW(),COLUMN()-1,4)),UNSPSCCode,0)),IF(INDIRECT(ADDRESS(ROW(),COLUMN()-1,4))="44103504","Alambres o espirales de encuadernación",""))</f>
        <v>Alambres o espirales de encuadernación</v>
      </c>
      <c r="C1036" s="35" t="str">
        <f>IFERROR(VLOOKUP("CAJ",'[1]Informacion '!P:Q,2,FALSE),"")</f>
        <v>Caja</v>
      </c>
      <c r="D1036" s="33">
        <v>5</v>
      </c>
      <c r="E1036" s="36">
        <v>368</v>
      </c>
      <c r="F1036" s="37">
        <f t="shared" ca="1" si="24"/>
        <v>1840</v>
      </c>
    </row>
    <row r="1037" spans="1:6" ht="14.1" customHeight="1" x14ac:dyDescent="0.25">
      <c r="A1037" s="33" t="s">
        <v>194</v>
      </c>
      <c r="B1037" s="34" t="str">
        <f ca="1">IFERROR(INDEX(UNSPSCDes,MATCH(INDIRECT(ADDRESS(ROW(),COLUMN()-1,4)),UNSPSCCode,0)),IF(INDIRECT(ADDRESS(ROW(),COLUMN()-1,4))="14111531","Papel libros o cuadernos para bitácoras",""))</f>
        <v>Papel libros o cuadernos para bitácoras</v>
      </c>
      <c r="C1037" s="35" t="str">
        <f>IFERROR(VLOOKUP("UD",'[1]Informacion '!P:Q,2,FALSE),"")</f>
        <v>Unidad</v>
      </c>
      <c r="D1037" s="33">
        <v>10</v>
      </c>
      <c r="E1037" s="36">
        <v>180</v>
      </c>
      <c r="F1037" s="37">
        <f t="shared" ca="1" si="24"/>
        <v>1800</v>
      </c>
    </row>
    <row r="1038" spans="1:6" ht="14.1" customHeight="1" x14ac:dyDescent="0.25">
      <c r="A1038" s="33" t="s">
        <v>194</v>
      </c>
      <c r="B1038" s="34" t="str">
        <f ca="1">IFERROR(INDEX(UNSPSCDes,MATCH(INDIRECT(ADDRESS(ROW(),COLUMN()-1,4)),UNSPSCCode,0)),IF(INDIRECT(ADDRESS(ROW(),COLUMN()-1,4))="14111531","Papel libros o cuadernos para bitácoras",""))</f>
        <v>Papel libros o cuadernos para bitácoras</v>
      </c>
      <c r="C1038" s="35" t="str">
        <f>IFERROR(VLOOKUP("UD",'[1]Informacion '!P:Q,2,FALSE),"")</f>
        <v>Unidad</v>
      </c>
      <c r="D1038" s="33">
        <v>10</v>
      </c>
      <c r="E1038" s="36">
        <v>170</v>
      </c>
      <c r="F1038" s="37">
        <f t="shared" ref="F1038:F1040" ca="1" si="25">INDIRECT(ADDRESS(ROW(),COLUMN()-2,4))*INDIRECT(ADDRESS(ROW(),COLUMN()-1,4))</f>
        <v>1700</v>
      </c>
    </row>
    <row r="1039" spans="1:6" ht="14.1" customHeight="1" x14ac:dyDescent="0.25">
      <c r="A1039" s="33" t="s">
        <v>199</v>
      </c>
      <c r="B1039" s="34" t="str">
        <f ca="1">IFERROR(INDEX(UNSPSCDes,MATCH(INDIRECT(ADDRESS(ROW(),COLUMN()-1,4)),UNSPSCCode,0)),IF(INDIRECT(ADDRESS(ROW(),COLUMN()-1,4))="44122011","Folders",""))</f>
        <v>Folders</v>
      </c>
      <c r="C1039" s="35" t="str">
        <f>IFERROR(VLOOKUP("CAJ",'[1]Informacion '!P:Q,2,FALSE),"")</f>
        <v>Caja</v>
      </c>
      <c r="D1039" s="33">
        <v>20</v>
      </c>
      <c r="E1039" s="36">
        <v>1200</v>
      </c>
      <c r="F1039" s="37">
        <f t="shared" ca="1" si="25"/>
        <v>24000</v>
      </c>
    </row>
    <row r="1040" spans="1:6" ht="14.1" customHeight="1" x14ac:dyDescent="0.25">
      <c r="A1040" s="33" t="s">
        <v>219</v>
      </c>
      <c r="B1040" s="34" t="str">
        <f ca="1">IFERROR(INDEX(UNSPSCDes,MATCH(INDIRECT(ADDRESS(ROW(),COLUMN()-1,4)),UNSPSCCode,0)),IF(INDIRECT(ADDRESS(ROW(),COLUMN()-1,4))="26111702","Pilas alcalinas",""))</f>
        <v>Pilas alcalinas</v>
      </c>
      <c r="C1040" s="35" t="str">
        <f>IFERROR(VLOOKUP("PAQ",'[1]Informacion '!P:Q,2,FALSE),"")</f>
        <v>Paquete</v>
      </c>
      <c r="D1040" s="33">
        <v>10</v>
      </c>
      <c r="E1040" s="36">
        <v>35</v>
      </c>
      <c r="F1040" s="37">
        <f t="shared" ca="1" si="25"/>
        <v>350</v>
      </c>
    </row>
    <row r="1041" spans="1:10" ht="14.1" customHeight="1" x14ac:dyDescent="0.25">
      <c r="E1041" s="38" t="s">
        <v>48</v>
      </c>
      <c r="F1041" s="39">
        <f ca="1">SUM(Table58[MONTO TOTAL ESTIMADO])</f>
        <v>451801.83999999997</v>
      </c>
      <c r="H1041" s="25" t="str">
        <f>C967</f>
        <v>Bienes</v>
      </c>
      <c r="I1041" s="25" t="str">
        <f>E967</f>
        <v>Sí</v>
      </c>
      <c r="J1041" s="25" t="str">
        <f>D967</f>
        <v>Compras Menores</v>
      </c>
    </row>
    <row r="1042" spans="1:10" ht="14.1" customHeight="1" x14ac:dyDescent="0.25"/>
    <row r="1043" spans="1:10" ht="34.15" customHeight="1" thickBot="1" x14ac:dyDescent="0.3">
      <c r="A1043" s="24" t="s">
        <v>19</v>
      </c>
      <c r="B1043" s="24" t="s">
        <v>20</v>
      </c>
      <c r="C1043" s="24" t="s">
        <v>21</v>
      </c>
      <c r="D1043" s="24" t="s">
        <v>22</v>
      </c>
      <c r="E1043" s="24" t="s">
        <v>23</v>
      </c>
      <c r="F1043" s="24" t="s">
        <v>24</v>
      </c>
    </row>
    <row r="1044" spans="1:10" ht="14.1" customHeight="1" thickBot="1" x14ac:dyDescent="0.3">
      <c r="A1044" s="26" t="s">
        <v>224</v>
      </c>
      <c r="B1044" s="26" t="s">
        <v>224</v>
      </c>
      <c r="C1044" s="26" t="s">
        <v>27</v>
      </c>
      <c r="D1044" s="26" t="s">
        <v>28</v>
      </c>
      <c r="E1044" s="26" t="s">
        <v>225</v>
      </c>
      <c r="F1044" s="26"/>
    </row>
    <row r="1045" spans="1:10" ht="14.1" customHeight="1" thickBot="1" x14ac:dyDescent="0.3">
      <c r="A1045" s="43" t="s">
        <v>30</v>
      </c>
      <c r="B1045" s="27" t="s">
        <v>31</v>
      </c>
      <c r="C1045" s="28">
        <v>44576</v>
      </c>
      <c r="D1045" s="43" t="s">
        <v>32</v>
      </c>
      <c r="E1045" s="29" t="s">
        <v>33</v>
      </c>
      <c r="F1045" s="30" t="s">
        <v>34</v>
      </c>
    </row>
    <row r="1046" spans="1:10" ht="14.1" customHeight="1" thickBot="1" x14ac:dyDescent="0.3">
      <c r="A1046" s="44"/>
      <c r="B1046" s="27" t="s">
        <v>35</v>
      </c>
      <c r="C1046" s="31">
        <f>IF(C1045="","",IF(AND(MONTH(C1045)&gt;=1,MONTH(C1045)&lt;=3),1,IF(AND(MONTH(C1045)&gt;=4,MONTH(C1045)&lt;=6),2,IF(AND(MONTH(C1045)&gt;=7,MONTH(C1045)&lt;=9),3,4))))</f>
        <v>1</v>
      </c>
      <c r="D1046" s="44"/>
      <c r="E1046" s="29" t="s">
        <v>36</v>
      </c>
      <c r="F1046" s="30"/>
    </row>
    <row r="1047" spans="1:10" ht="14.1" customHeight="1" thickBot="1" x14ac:dyDescent="0.3">
      <c r="A1047" s="44"/>
      <c r="B1047" s="27" t="s">
        <v>37</v>
      </c>
      <c r="C1047" s="28">
        <v>44651</v>
      </c>
      <c r="D1047" s="44"/>
      <c r="E1047" s="29" t="s">
        <v>38</v>
      </c>
      <c r="F1047" s="30"/>
    </row>
    <row r="1048" spans="1:10" ht="14.1" customHeight="1" thickBot="1" x14ac:dyDescent="0.3">
      <c r="A1048" s="44"/>
      <c r="B1048" s="27" t="s">
        <v>35</v>
      </c>
      <c r="C1048" s="31">
        <f>IF(C1047="","",IF(AND(MONTH(C1047)&gt;=1,MONTH(C1047)&lt;=3),1,IF(AND(MONTH(C1047)&gt;=4,MONTH(C1047)&lt;=6),2,IF(AND(MONTH(C1047)&gt;=7,MONTH(C1047)&lt;=9),3,4))))</f>
        <v>1</v>
      </c>
      <c r="D1048" s="44"/>
      <c r="E1048" s="29" t="s">
        <v>39</v>
      </c>
      <c r="F1048" s="30"/>
    </row>
    <row r="1049" spans="1:10" ht="14.1" customHeight="1" x14ac:dyDescent="0.25"/>
    <row r="1050" spans="1:10" ht="14.1" customHeight="1" thickBot="1" x14ac:dyDescent="0.3">
      <c r="A1050" s="32" t="s">
        <v>40</v>
      </c>
      <c r="B1050" s="32" t="s">
        <v>41</v>
      </c>
      <c r="C1050" s="32" t="s">
        <v>42</v>
      </c>
      <c r="D1050" s="32" t="s">
        <v>43</v>
      </c>
      <c r="E1050" s="32" t="s">
        <v>44</v>
      </c>
      <c r="F1050" s="32" t="s">
        <v>45</v>
      </c>
    </row>
    <row r="1051" spans="1:10" ht="14.1" customHeight="1" x14ac:dyDescent="0.25">
      <c r="A1051" s="33" t="s">
        <v>226</v>
      </c>
      <c r="B1051" s="34" t="str">
        <f ca="1">IFERROR(INDEX(UNSPSCDes,MATCH(INDIRECT(ADDRESS(ROW(),COLUMN()-1,4)),UNSPSCCode,0)),IF(INDIRECT(ADDRESS(ROW(),COLUMN()-1,4))="47131604","Escobas",""))</f>
        <v>Escobas</v>
      </c>
      <c r="C1051" s="35" t="str">
        <f>IFERROR(VLOOKUP("UD",'[1]Informacion '!P:Q,2,FALSE),"")</f>
        <v>Unidad</v>
      </c>
      <c r="D1051" s="33">
        <v>15</v>
      </c>
      <c r="E1051" s="36">
        <v>150</v>
      </c>
      <c r="F1051" s="37">
        <f t="shared" ref="F1051:F1078" ca="1" si="26">INDIRECT(ADDRESS(ROW(),COLUMN()-2,4))*INDIRECT(ADDRESS(ROW(),COLUMN()-1,4))</f>
        <v>2250</v>
      </c>
    </row>
    <row r="1052" spans="1:10" ht="14.1" customHeight="1" x14ac:dyDescent="0.25">
      <c r="A1052" s="33" t="s">
        <v>227</v>
      </c>
      <c r="B1052" s="34" t="str">
        <f ca="1">IFERROR(INDEX(UNSPSCDes,MATCH(INDIRECT(ADDRESS(ROW(),COLUMN()-1,4)),UNSPSCCode,0)),IF(INDIRECT(ADDRESS(ROW(),COLUMN()-1,4))="47131801","Limpiadores de pisos",""))</f>
        <v>Limpiadores de pisos</v>
      </c>
      <c r="C1052" s="35" t="str">
        <f>IFERROR(VLOOKUP("UD",'[1]Informacion '!P:Q,2,FALSE),"")</f>
        <v>Unidad</v>
      </c>
      <c r="D1052" s="33">
        <v>30</v>
      </c>
      <c r="E1052" s="36">
        <v>250</v>
      </c>
      <c r="F1052" s="37">
        <f t="shared" ca="1" si="26"/>
        <v>7500</v>
      </c>
    </row>
    <row r="1053" spans="1:10" ht="14.1" customHeight="1" x14ac:dyDescent="0.25">
      <c r="A1053" s="33" t="s">
        <v>228</v>
      </c>
      <c r="B1053" s="34" t="str">
        <f ca="1">IFERROR(INDEX(UNSPSCDes,MATCH(INDIRECT(ADDRESS(ROW(),COLUMN()-1,4)),UNSPSCCode,0)),IF(INDIRECT(ADDRESS(ROW(),COLUMN()-1,4))="47131812","Refrescador de aire",""))</f>
        <v>Refrescador de aire</v>
      </c>
      <c r="C1053" s="35" t="str">
        <f>IFERROR(VLOOKUP("UD",'[1]Informacion '!P:Q,2,FALSE),"")</f>
        <v>Unidad</v>
      </c>
      <c r="D1053" s="33">
        <v>20</v>
      </c>
      <c r="E1053" s="36">
        <v>130</v>
      </c>
      <c r="F1053" s="37">
        <f t="shared" ca="1" si="26"/>
        <v>2600</v>
      </c>
    </row>
    <row r="1054" spans="1:10" ht="14.1" customHeight="1" x14ac:dyDescent="0.25">
      <c r="A1054" s="33" t="s">
        <v>229</v>
      </c>
      <c r="B1054" s="34" t="str">
        <f ca="1">IFERROR(INDEX(UNSPSCDes,MATCH(INDIRECT(ADDRESS(ROW(),COLUMN()-1,4)),UNSPSCCode,0)),IF(INDIRECT(ADDRESS(ROW(),COLUMN()-1,4))="47131603","Esponjas",""))</f>
        <v>Esponjas</v>
      </c>
      <c r="C1054" s="35" t="str">
        <f>IFERROR(VLOOKUP("UD",'[1]Informacion '!P:Q,2,FALSE),"")</f>
        <v>Unidad</v>
      </c>
      <c r="D1054" s="33">
        <v>100</v>
      </c>
      <c r="E1054" s="36">
        <v>85</v>
      </c>
      <c r="F1054" s="37">
        <f t="shared" ca="1" si="26"/>
        <v>8500</v>
      </c>
    </row>
    <row r="1055" spans="1:10" ht="14.1" customHeight="1" x14ac:dyDescent="0.25">
      <c r="A1055" s="33" t="s">
        <v>230</v>
      </c>
      <c r="B1055" s="34" t="str">
        <f ca="1">IFERROR(INDEX(UNSPSCDes,MATCH(INDIRECT(ADDRESS(ROW(),COLUMN()-1,4)),UNSPSCCode,0)),IF(INDIRECT(ADDRESS(ROW(),COLUMN()-1,4))="46181504","Guantes de protección",""))</f>
        <v>Guantes de protección</v>
      </c>
      <c r="C1055" s="35" t="str">
        <f>IFERROR(VLOOKUP("UD",'[1]Informacion '!P:Q,2,FALSE),"")</f>
        <v>Unidad</v>
      </c>
      <c r="D1055" s="33">
        <v>20</v>
      </c>
      <c r="E1055" s="36">
        <v>85</v>
      </c>
      <c r="F1055" s="37">
        <f t="shared" ca="1" si="26"/>
        <v>1700</v>
      </c>
    </row>
    <row r="1056" spans="1:10" ht="14.1" customHeight="1" x14ac:dyDescent="0.25">
      <c r="A1056" s="33" t="s">
        <v>231</v>
      </c>
      <c r="B1056" s="34" t="str">
        <f ca="1">IFERROR(INDEX(UNSPSCDes,MATCH(INDIRECT(ADDRESS(ROW(),COLUMN()-1,4)),UNSPSCCode,0)),IF(INDIRECT(ADDRESS(ROW(),COLUMN()-1,4))="47131827","Limpiadores o removedores de manchas",""))</f>
        <v>Limpiadores o removedores de manchas</v>
      </c>
      <c r="C1056" s="35" t="str">
        <f>IFERROR(VLOOKUP("UD",'[1]Informacion '!P:Q,2,FALSE),"")</f>
        <v>Unidad</v>
      </c>
      <c r="D1056" s="33">
        <v>10</v>
      </c>
      <c r="E1056" s="36">
        <v>390</v>
      </c>
      <c r="F1056" s="37">
        <f t="shared" ca="1" si="26"/>
        <v>3900</v>
      </c>
    </row>
    <row r="1057" spans="1:6" ht="14.1" customHeight="1" x14ac:dyDescent="0.25">
      <c r="A1057" s="33" t="s">
        <v>232</v>
      </c>
      <c r="B1057" s="34" t="str">
        <f ca="1">IFERROR(INDEX(UNSPSCDes,MATCH(INDIRECT(ADDRESS(ROW(),COLUMN()-1,4)),UNSPSCCode,0)),IF(INDIRECT(ADDRESS(ROW(),COLUMN()-1,4))="14111703","Toallas de papel",""))</f>
        <v>Toallas de papel</v>
      </c>
      <c r="C1057" s="35" t="str">
        <f>IFERROR(VLOOKUP("UD",'[1]Informacion '!P:Q,2,FALSE),"")</f>
        <v>Unidad</v>
      </c>
      <c r="D1057" s="33">
        <v>300</v>
      </c>
      <c r="E1057" s="36">
        <v>400</v>
      </c>
      <c r="F1057" s="37">
        <f t="shared" ca="1" si="26"/>
        <v>120000</v>
      </c>
    </row>
    <row r="1058" spans="1:6" ht="14.1" customHeight="1" x14ac:dyDescent="0.25">
      <c r="A1058" s="33" t="s">
        <v>233</v>
      </c>
      <c r="B1058" s="34" t="str">
        <f ca="1">IFERROR(INDEX(UNSPSCDes,MATCH(INDIRECT(ADDRESS(ROW(),COLUMN()-1,4)),UNSPSCCode,0)),IF(INDIRECT(ADDRESS(ROW(),COLUMN()-1,4))="14111704","Papel higiénico",""))</f>
        <v>Papel higiénico</v>
      </c>
      <c r="C1058" s="35" t="str">
        <f>IFERROR(VLOOKUP("UD",'[1]Informacion '!P:Q,2,FALSE),"")</f>
        <v>Unidad</v>
      </c>
      <c r="D1058" s="33">
        <v>300</v>
      </c>
      <c r="E1058" s="36">
        <v>228</v>
      </c>
      <c r="F1058" s="37">
        <f t="shared" ca="1" si="26"/>
        <v>68400</v>
      </c>
    </row>
    <row r="1059" spans="1:6" ht="14.1" customHeight="1" x14ac:dyDescent="0.25">
      <c r="A1059" s="33" t="s">
        <v>234</v>
      </c>
      <c r="B1059" s="34" t="str">
        <f ca="1">IFERROR(INDEX(UNSPSCDes,MATCH(INDIRECT(ADDRESS(ROW(),COLUMN()-1,4)),UNSPSCCode,0)),IF(INDIRECT(ADDRESS(ROW(),COLUMN()-1,4))="14111705","Servilletas de papel",""))</f>
        <v>Servilletas de papel</v>
      </c>
      <c r="C1059" s="35" t="str">
        <f>IFERROR(VLOOKUP("PAQ",'[1]Informacion '!P:Q,2,FALSE),"")</f>
        <v>Paquete</v>
      </c>
      <c r="D1059" s="33">
        <v>100</v>
      </c>
      <c r="E1059" s="36">
        <v>100</v>
      </c>
      <c r="F1059" s="37">
        <f t="shared" ca="1" si="26"/>
        <v>10000</v>
      </c>
    </row>
    <row r="1060" spans="1:6" ht="14.1" customHeight="1" x14ac:dyDescent="0.25">
      <c r="A1060" s="33" t="s">
        <v>235</v>
      </c>
      <c r="B1060" s="34" t="str">
        <f ca="1">IFERROR(INDEX(UNSPSCDes,MATCH(INDIRECT(ADDRESS(ROW(),COLUMN()-1,4)),UNSPSCCode,0)),IF(INDIRECT(ADDRESS(ROW(),COLUMN()-1,4))="47121701","Bolsas de basura",""))</f>
        <v>Bolsas de basura</v>
      </c>
      <c r="C1060" s="35" t="str">
        <f>IFERROR(VLOOKUP("PAQ",'[1]Informacion '!P:Q,2,FALSE),"")</f>
        <v>Paquete</v>
      </c>
      <c r="D1060" s="33">
        <v>3</v>
      </c>
      <c r="E1060" s="36">
        <v>1300</v>
      </c>
      <c r="F1060" s="37">
        <f t="shared" ca="1" si="26"/>
        <v>3900</v>
      </c>
    </row>
    <row r="1061" spans="1:6" ht="14.1" customHeight="1" x14ac:dyDescent="0.25">
      <c r="A1061" s="33" t="s">
        <v>235</v>
      </c>
      <c r="B1061" s="34" t="str">
        <f ca="1">IFERROR(INDEX(UNSPSCDes,MATCH(INDIRECT(ADDRESS(ROW(),COLUMN()-1,4)),UNSPSCCode,0)),IF(INDIRECT(ADDRESS(ROW(),COLUMN()-1,4))="47121701","Bolsas de basura",""))</f>
        <v>Bolsas de basura</v>
      </c>
      <c r="C1061" s="35" t="str">
        <f>IFERROR(VLOOKUP("PAQ",'[1]Informacion '!P:Q,2,FALSE),"")</f>
        <v>Paquete</v>
      </c>
      <c r="D1061" s="33">
        <v>50</v>
      </c>
      <c r="E1061" s="36">
        <v>55</v>
      </c>
      <c r="F1061" s="37">
        <f t="shared" ca="1" si="26"/>
        <v>2750</v>
      </c>
    </row>
    <row r="1062" spans="1:6" ht="14.1" customHeight="1" x14ac:dyDescent="0.25">
      <c r="A1062" s="33" t="s">
        <v>235</v>
      </c>
      <c r="B1062" s="34" t="str">
        <f ca="1">IFERROR(INDEX(UNSPSCDes,MATCH(INDIRECT(ADDRESS(ROW(),COLUMN()-1,4)),UNSPSCCode,0)),IF(INDIRECT(ADDRESS(ROW(),COLUMN()-1,4))="47121701","Bolsas de basura",""))</f>
        <v>Bolsas de basura</v>
      </c>
      <c r="C1062" s="35" t="str">
        <f>IFERROR(VLOOKUP("PAQ",'[1]Informacion '!P:Q,2,FALSE),"")</f>
        <v>Paquete</v>
      </c>
      <c r="D1062" s="33">
        <v>50</v>
      </c>
      <c r="E1062" s="36">
        <v>50</v>
      </c>
      <c r="F1062" s="37">
        <f t="shared" ca="1" si="26"/>
        <v>2500</v>
      </c>
    </row>
    <row r="1063" spans="1:6" ht="14.1" customHeight="1" x14ac:dyDescent="0.25">
      <c r="A1063" s="33" t="s">
        <v>235</v>
      </c>
      <c r="B1063" s="34" t="str">
        <f ca="1">IFERROR(INDEX(UNSPSCDes,MATCH(INDIRECT(ADDRESS(ROW(),COLUMN()-1,4)),UNSPSCCode,0)),IF(INDIRECT(ADDRESS(ROW(),COLUMN()-1,4))="47121701","Bolsas de basura",""))</f>
        <v>Bolsas de basura</v>
      </c>
      <c r="C1063" s="35" t="str">
        <f>IFERROR(VLOOKUP("PAQ",'[1]Informacion '!P:Q,2,FALSE),"")</f>
        <v>Paquete</v>
      </c>
      <c r="D1063" s="33">
        <v>50</v>
      </c>
      <c r="E1063" s="36">
        <v>45</v>
      </c>
      <c r="F1063" s="37">
        <f t="shared" ca="1" si="26"/>
        <v>2250</v>
      </c>
    </row>
    <row r="1064" spans="1:6" ht="14.1" customHeight="1" x14ac:dyDescent="0.25">
      <c r="A1064" s="33" t="s">
        <v>236</v>
      </c>
      <c r="B1064" s="34" t="str">
        <f ca="1">IFERROR(INDEX(UNSPSCDes,MATCH(INDIRECT(ADDRESS(ROW(),COLUMN()-1,4)),UNSPSCCode,0)),IF(INDIRECT(ADDRESS(ROW(),COLUMN()-1,4))="47131502","Pañitos o toallas para limpiar",""))</f>
        <v>Pañitos o toallas para limpiar</v>
      </c>
      <c r="C1064" s="35" t="str">
        <f>IFERROR(VLOOKUP("UD",'[1]Informacion '!P:Q,2,FALSE),"")</f>
        <v>Unidad</v>
      </c>
      <c r="D1064" s="33">
        <v>25</v>
      </c>
      <c r="E1064" s="36">
        <v>85</v>
      </c>
      <c r="F1064" s="37">
        <f t="shared" ca="1" si="26"/>
        <v>2125</v>
      </c>
    </row>
    <row r="1065" spans="1:6" ht="14.1" customHeight="1" x14ac:dyDescent="0.25">
      <c r="A1065" s="33" t="s">
        <v>237</v>
      </c>
      <c r="B1065" s="34" t="str">
        <f ca="1">IFERROR(INDEX(UNSPSCDes,MATCH(INDIRECT(ADDRESS(ROW(),COLUMN()-1,4)),UNSPSCCode,0)),IF(INDIRECT(ADDRESS(ROW(),COLUMN()-1,4))="52151504","Tazas o vasos o tapas desechables para uso doméstico",""))</f>
        <v>Tazas o vasos o tapas desechables para uso doméstico</v>
      </c>
      <c r="C1065" s="35" t="str">
        <f>IFERROR(VLOOKUP("CAJ",'[1]Informacion '!P:Q,2,FALSE),"")</f>
        <v>Caja</v>
      </c>
      <c r="D1065" s="33">
        <v>12</v>
      </c>
      <c r="E1065" s="36">
        <v>1900</v>
      </c>
      <c r="F1065" s="37">
        <f t="shared" ca="1" si="26"/>
        <v>22800</v>
      </c>
    </row>
    <row r="1066" spans="1:6" ht="14.1" customHeight="1" x14ac:dyDescent="0.25">
      <c r="A1066" s="33" t="s">
        <v>237</v>
      </c>
      <c r="B1066" s="34" t="str">
        <f ca="1">IFERROR(INDEX(UNSPSCDes,MATCH(INDIRECT(ADDRESS(ROW(),COLUMN()-1,4)),UNSPSCCode,0)),IF(INDIRECT(ADDRESS(ROW(),COLUMN()-1,4))="52151504","Tazas o vasos o tapas desechables para uso doméstico",""))</f>
        <v>Tazas o vasos o tapas desechables para uso doméstico</v>
      </c>
      <c r="C1066" s="35" t="str">
        <f>IFERROR(VLOOKUP("CAJ",'[1]Informacion '!P:Q,2,FALSE),"")</f>
        <v>Caja</v>
      </c>
      <c r="D1066" s="33">
        <v>12</v>
      </c>
      <c r="E1066" s="36">
        <v>1600</v>
      </c>
      <c r="F1066" s="37">
        <f t="shared" ca="1" si="26"/>
        <v>19200</v>
      </c>
    </row>
    <row r="1067" spans="1:6" ht="14.1" customHeight="1" x14ac:dyDescent="0.25">
      <c r="A1067" s="33" t="s">
        <v>238</v>
      </c>
      <c r="B1067" s="34" t="str">
        <f ca="1">IFERROR(INDEX(UNSPSCDes,MATCH(INDIRECT(ADDRESS(ROW(),COLUMN()-1,4)),UNSPSCCode,0)),IF(INDIRECT(ADDRESS(ROW(),COLUMN()-1,4))="47131618","Traperos húmedos",""))</f>
        <v>Traperos húmedos</v>
      </c>
      <c r="C1067" s="35" t="str">
        <f>IFERROR(VLOOKUP("UD",'[1]Informacion '!P:Q,2,FALSE),"")</f>
        <v>Unidad</v>
      </c>
      <c r="D1067" s="33">
        <v>20</v>
      </c>
      <c r="E1067" s="36">
        <v>260</v>
      </c>
      <c r="F1067" s="37">
        <f t="shared" ca="1" si="26"/>
        <v>5200</v>
      </c>
    </row>
    <row r="1068" spans="1:6" ht="14.1" customHeight="1" x14ac:dyDescent="0.25">
      <c r="A1068" s="33" t="s">
        <v>239</v>
      </c>
      <c r="B1068" s="34" t="str">
        <f ca="1">IFERROR(INDEX(UNSPSCDes,MATCH(INDIRECT(ADDRESS(ROW(),COLUMN()-1,4)),UNSPSCCode,0)),IF(INDIRECT(ADDRESS(ROW(),COLUMN()-1,4))="53131608","Jabones",""))</f>
        <v>Jabones</v>
      </c>
      <c r="C1068" s="35" t="str">
        <f>IFERROR(VLOOKUP("GAL",'[1]Informacion '!P:Q,2,FALSE),"")</f>
        <v>Galón</v>
      </c>
      <c r="D1068" s="33">
        <v>6</v>
      </c>
      <c r="E1068" s="36">
        <v>230</v>
      </c>
      <c r="F1068" s="37">
        <f t="shared" ca="1" si="26"/>
        <v>1380</v>
      </c>
    </row>
    <row r="1069" spans="1:6" ht="14.1" customHeight="1" x14ac:dyDescent="0.25">
      <c r="A1069" s="33" t="s">
        <v>239</v>
      </c>
      <c r="B1069" s="34" t="str">
        <f ca="1">IFERROR(INDEX(UNSPSCDes,MATCH(INDIRECT(ADDRESS(ROW(),COLUMN()-1,4)),UNSPSCCode,0)),IF(INDIRECT(ADDRESS(ROW(),COLUMN()-1,4))="53131608","Jabones",""))</f>
        <v>Jabones</v>
      </c>
      <c r="C1069" s="35" t="str">
        <f>IFERROR(VLOOKUP("UD",'[1]Informacion '!P:Q,2,FALSE),"")</f>
        <v>Unidad</v>
      </c>
      <c r="D1069" s="33">
        <v>15</v>
      </c>
      <c r="E1069" s="36">
        <v>600</v>
      </c>
      <c r="F1069" s="37">
        <f t="shared" ca="1" si="26"/>
        <v>9000</v>
      </c>
    </row>
    <row r="1070" spans="1:6" ht="14.1" customHeight="1" x14ac:dyDescent="0.25">
      <c r="A1070" s="33" t="s">
        <v>240</v>
      </c>
      <c r="B1070" s="34" t="str">
        <f ca="1">IFERROR(INDEX(UNSPSCDes,MATCH(INDIRECT(ADDRESS(ROW(),COLUMN()-1,4)),UNSPSCCode,0)),IF(INDIRECT(ADDRESS(ROW(),COLUMN()-1,4))="53131626","Desinfectante de manos",""))</f>
        <v>Desinfectante de manos</v>
      </c>
      <c r="C1070" s="35" t="str">
        <f>IFERROR(VLOOKUP("GAL",'[1]Informacion '!P:Q,2,FALSE),"")</f>
        <v>Galón</v>
      </c>
      <c r="D1070" s="33">
        <v>6</v>
      </c>
      <c r="E1070" s="36">
        <v>1400</v>
      </c>
      <c r="F1070" s="37">
        <f t="shared" ca="1" si="26"/>
        <v>8400</v>
      </c>
    </row>
    <row r="1071" spans="1:6" ht="14.1" customHeight="1" x14ac:dyDescent="0.25">
      <c r="A1071" s="33" t="s">
        <v>241</v>
      </c>
      <c r="B1071" s="34" t="str">
        <f ca="1">IFERROR(INDEX(UNSPSCDes,MATCH(INDIRECT(ADDRESS(ROW(),COLUMN()-1,4)),UNSPSCCode,0)),IF(INDIRECT(ADDRESS(ROW(),COLUMN()-1,4))="47131807","Blanqueadores",""))</f>
        <v>Blanqueadores</v>
      </c>
      <c r="C1071" s="35" t="str">
        <f>IFERROR(VLOOKUP("GAL",'[1]Informacion '!P:Q,2,FALSE),"")</f>
        <v>Galón</v>
      </c>
      <c r="D1071" s="33">
        <v>50</v>
      </c>
      <c r="E1071" s="36">
        <v>75</v>
      </c>
      <c r="F1071" s="37">
        <f t="shared" ca="1" si="26"/>
        <v>3750</v>
      </c>
    </row>
    <row r="1072" spans="1:6" ht="14.1" customHeight="1" x14ac:dyDescent="0.25">
      <c r="A1072" s="33" t="s">
        <v>242</v>
      </c>
      <c r="B1072" s="34" t="str">
        <f ca="1">IFERROR(INDEX(UNSPSCDes,MATCH(INDIRECT(ADDRESS(ROW(),COLUMN()-1,4)),UNSPSCCode,0)),IF(INDIRECT(ADDRESS(ROW(),COLUMN()-1,4))="47131608","Cepillos de baño",""))</f>
        <v>Cepillos de baño</v>
      </c>
      <c r="C1072" s="35" t="str">
        <f>IFERROR(VLOOKUP("UD",'[1]Informacion '!P:Q,2,FALSE),"")</f>
        <v>Unidad</v>
      </c>
      <c r="D1072" s="33">
        <v>10</v>
      </c>
      <c r="E1072" s="36">
        <v>150</v>
      </c>
      <c r="F1072" s="37">
        <f t="shared" ca="1" si="26"/>
        <v>1500</v>
      </c>
    </row>
    <row r="1073" spans="1:10" ht="14.1" customHeight="1" x14ac:dyDescent="0.25">
      <c r="A1073" s="33" t="s">
        <v>243</v>
      </c>
      <c r="B1073" s="34" t="str">
        <f ca="1">IFERROR(INDEX(UNSPSCDes,MATCH(INDIRECT(ADDRESS(ROW(),COLUMN()-1,4)),UNSPSCCode,0)),IF(INDIRECT(ADDRESS(ROW(),COLUMN()-1,4))="14111701","Pañuelos faciales",""))</f>
        <v>Pañuelos faciales</v>
      </c>
      <c r="C1073" s="35" t="str">
        <f>IFERROR(VLOOKUP("CAJ",'[1]Informacion '!P:Q,2,FALSE),"")</f>
        <v>Caja</v>
      </c>
      <c r="D1073" s="33">
        <v>10</v>
      </c>
      <c r="E1073" s="36">
        <v>160</v>
      </c>
      <c r="F1073" s="37">
        <f t="shared" ca="1" si="26"/>
        <v>1600</v>
      </c>
    </row>
    <row r="1074" spans="1:10" ht="14.1" customHeight="1" x14ac:dyDescent="0.25">
      <c r="A1074" s="33" t="s">
        <v>244</v>
      </c>
      <c r="B1074" s="34" t="str">
        <f ca="1">IFERROR(INDEX(UNSPSCDes,MATCH(INDIRECT(ADDRESS(ROW(),COLUMN()-1,4)),UNSPSCCode,0)),IF(INDIRECT(ADDRESS(ROW(),COLUMN()-1,4))="12161902","Surfactantes detergentes",""))</f>
        <v>Surfactantes detergentes</v>
      </c>
      <c r="C1074" s="35" t="str">
        <f>IFERROR(VLOOKUP("PAQ",'[1]Informacion '!P:Q,2,FALSE),"")</f>
        <v>Paquete</v>
      </c>
      <c r="D1074" s="33">
        <v>60</v>
      </c>
      <c r="E1074" s="36">
        <v>95</v>
      </c>
      <c r="F1074" s="37">
        <f t="shared" ca="1" si="26"/>
        <v>5700</v>
      </c>
    </row>
    <row r="1075" spans="1:10" ht="14.1" customHeight="1" x14ac:dyDescent="0.25">
      <c r="A1075" s="33" t="s">
        <v>245</v>
      </c>
      <c r="B1075" s="34" t="str">
        <f ca="1">IFERROR(INDEX(UNSPSCDes,MATCH(INDIRECT(ADDRESS(ROW(),COLUMN()-1,4)),UNSPSCCode,0)),IF(INDIRECT(ADDRESS(ROW(),COLUMN()-1,4))="47131602","Almohadillas para restregar",""))</f>
        <v>Almohadillas para restregar</v>
      </c>
      <c r="C1075" s="35" t="str">
        <f>IFERROR(VLOOKUP("UD",'[1]Informacion '!P:Q,2,FALSE),"")</f>
        <v>Unidad</v>
      </c>
      <c r="D1075" s="33">
        <v>25</v>
      </c>
      <c r="E1075" s="36">
        <v>60</v>
      </c>
      <c r="F1075" s="37">
        <f t="shared" ca="1" si="26"/>
        <v>1500</v>
      </c>
    </row>
    <row r="1076" spans="1:10" ht="14.1" customHeight="1" x14ac:dyDescent="0.25">
      <c r="A1076" s="33" t="s">
        <v>239</v>
      </c>
      <c r="B1076" s="34" t="str">
        <f ca="1">IFERROR(INDEX(UNSPSCDes,MATCH(INDIRECT(ADDRESS(ROW(),COLUMN()-1,4)),UNSPSCCode,0)),IF(INDIRECT(ADDRESS(ROW(),COLUMN()-1,4))="53131608","Jabones",""))</f>
        <v>Jabones</v>
      </c>
      <c r="C1076" s="35" t="str">
        <f>IFERROR(VLOOKUP("PAQ",'[1]Informacion '!P:Q,2,FALSE),"")</f>
        <v>Paquete</v>
      </c>
      <c r="D1076" s="33">
        <v>20</v>
      </c>
      <c r="E1076" s="36">
        <v>130</v>
      </c>
      <c r="F1076" s="37">
        <f t="shared" ca="1" si="26"/>
        <v>2600</v>
      </c>
    </row>
    <row r="1077" spans="1:10" ht="14.1" customHeight="1" x14ac:dyDescent="0.25">
      <c r="A1077" s="33" t="s">
        <v>228</v>
      </c>
      <c r="B1077" s="34" t="str">
        <f ca="1">IFERROR(INDEX(UNSPSCDes,MATCH(INDIRECT(ADDRESS(ROW(),COLUMN()-1,4)),UNSPSCCode,0)),IF(INDIRECT(ADDRESS(ROW(),COLUMN()-1,4))="47131812","Refrescador de aire",""))</f>
        <v>Refrescador de aire</v>
      </c>
      <c r="C1077" s="35" t="str">
        <f>IFERROR(VLOOKUP("UD",'[1]Informacion '!P:Q,2,FALSE),"")</f>
        <v>Unidad</v>
      </c>
      <c r="D1077" s="33">
        <v>10</v>
      </c>
      <c r="E1077" s="36">
        <v>237</v>
      </c>
      <c r="F1077" s="37">
        <f t="shared" ca="1" si="26"/>
        <v>2370</v>
      </c>
    </row>
    <row r="1078" spans="1:10" ht="14.1" customHeight="1" x14ac:dyDescent="0.25">
      <c r="A1078" s="33" t="s">
        <v>246</v>
      </c>
      <c r="B1078" s="34" t="str">
        <f ca="1">IFERROR(INDEX(UNSPSCDes,MATCH(INDIRECT(ADDRESS(ROW(),COLUMN()-1,4)),UNSPSCCode,0)),IF(INDIRECT(ADDRESS(ROW(),COLUMN()-1,4))="47131824","Limpiadores de vidrio o ventanas",""))</f>
        <v>Limpiadores de vidrio o ventanas</v>
      </c>
      <c r="C1078" s="35" t="str">
        <f>IFERROR(VLOOKUP("GAL",'[1]Informacion '!P:Q,2,FALSE),"")</f>
        <v>Galón</v>
      </c>
      <c r="D1078" s="33">
        <v>5</v>
      </c>
      <c r="E1078" s="36">
        <v>190</v>
      </c>
      <c r="F1078" s="37">
        <f t="shared" ca="1" si="26"/>
        <v>950</v>
      </c>
    </row>
    <row r="1079" spans="1:10" ht="14.1" customHeight="1" x14ac:dyDescent="0.25">
      <c r="E1079" s="38" t="s">
        <v>48</v>
      </c>
      <c r="F1079" s="39">
        <f ca="1">SUM(Table59[MONTO TOTAL ESTIMADO])</f>
        <v>324325</v>
      </c>
      <c r="H1079" s="25" t="str">
        <f>C1044</f>
        <v>Bienes</v>
      </c>
      <c r="I1079" s="25" t="str">
        <f>E1044</f>
        <v>MIPYME Mujeres</v>
      </c>
      <c r="J1079" s="25" t="str">
        <f>D1044</f>
        <v>Compras Menores</v>
      </c>
    </row>
    <row r="1080" spans="1:10" ht="14.1" customHeight="1" x14ac:dyDescent="0.25"/>
    <row r="1081" spans="1:10" ht="34.15" customHeight="1" thickBot="1" x14ac:dyDescent="0.3">
      <c r="A1081" s="24" t="s">
        <v>19</v>
      </c>
      <c r="B1081" s="24" t="s">
        <v>20</v>
      </c>
      <c r="C1081" s="24" t="s">
        <v>21</v>
      </c>
      <c r="D1081" s="24" t="s">
        <v>22</v>
      </c>
      <c r="E1081" s="24" t="s">
        <v>23</v>
      </c>
      <c r="F1081" s="24" t="s">
        <v>24</v>
      </c>
    </row>
    <row r="1082" spans="1:10" ht="14.1" customHeight="1" thickBot="1" x14ac:dyDescent="0.3">
      <c r="A1082" s="26" t="s">
        <v>224</v>
      </c>
      <c r="B1082" s="26" t="s">
        <v>224</v>
      </c>
      <c r="C1082" s="26" t="s">
        <v>27</v>
      </c>
      <c r="D1082" s="26" t="s">
        <v>28</v>
      </c>
      <c r="E1082" s="26" t="s">
        <v>225</v>
      </c>
      <c r="F1082" s="26"/>
    </row>
    <row r="1083" spans="1:10" ht="14.1" customHeight="1" thickBot="1" x14ac:dyDescent="0.3">
      <c r="A1083" s="43" t="s">
        <v>30</v>
      </c>
      <c r="B1083" s="27" t="s">
        <v>31</v>
      </c>
      <c r="C1083" s="28">
        <v>44652</v>
      </c>
      <c r="D1083" s="43" t="s">
        <v>32</v>
      </c>
      <c r="E1083" s="29" t="s">
        <v>33</v>
      </c>
      <c r="F1083" s="30" t="s">
        <v>34</v>
      </c>
    </row>
    <row r="1084" spans="1:10" ht="14.1" customHeight="1" thickBot="1" x14ac:dyDescent="0.3">
      <c r="A1084" s="44"/>
      <c r="B1084" s="27" t="s">
        <v>35</v>
      </c>
      <c r="C1084" s="31">
        <f>IF(C1083="","",IF(AND(MONTH(C1083)&gt;=1,MONTH(C1083)&lt;=3),1,IF(AND(MONTH(C1083)&gt;=4,MONTH(C1083)&lt;=6),2,IF(AND(MONTH(C1083)&gt;=7,MONTH(C1083)&lt;=9),3,4))))</f>
        <v>2</v>
      </c>
      <c r="D1084" s="44"/>
      <c r="E1084" s="29" t="s">
        <v>36</v>
      </c>
      <c r="F1084" s="30"/>
    </row>
    <row r="1085" spans="1:10" ht="14.1" customHeight="1" thickBot="1" x14ac:dyDescent="0.3">
      <c r="A1085" s="44"/>
      <c r="B1085" s="27" t="s">
        <v>37</v>
      </c>
      <c r="C1085" s="28">
        <v>44742</v>
      </c>
      <c r="D1085" s="44"/>
      <c r="E1085" s="29" t="s">
        <v>38</v>
      </c>
      <c r="F1085" s="30"/>
    </row>
    <row r="1086" spans="1:10" ht="14.1" customHeight="1" thickBot="1" x14ac:dyDescent="0.3">
      <c r="A1086" s="44"/>
      <c r="B1086" s="27" t="s">
        <v>35</v>
      </c>
      <c r="C1086" s="31">
        <f>IF(C1085="","",IF(AND(MONTH(C1085)&gt;=1,MONTH(C1085)&lt;=3),1,IF(AND(MONTH(C1085)&gt;=4,MONTH(C1085)&lt;=6),2,IF(AND(MONTH(C1085)&gt;=7,MONTH(C1085)&lt;=9),3,4))))</f>
        <v>2</v>
      </c>
      <c r="D1086" s="44"/>
      <c r="E1086" s="29" t="s">
        <v>39</v>
      </c>
      <c r="F1086" s="30"/>
    </row>
    <row r="1087" spans="1:10" ht="14.1" customHeight="1" x14ac:dyDescent="0.25"/>
    <row r="1088" spans="1:10" ht="14.1" customHeight="1" thickBot="1" x14ac:dyDescent="0.3">
      <c r="A1088" s="32" t="s">
        <v>40</v>
      </c>
      <c r="B1088" s="32" t="s">
        <v>41</v>
      </c>
      <c r="C1088" s="32" t="s">
        <v>42</v>
      </c>
      <c r="D1088" s="32" t="s">
        <v>43</v>
      </c>
      <c r="E1088" s="32" t="s">
        <v>44</v>
      </c>
      <c r="F1088" s="32" t="s">
        <v>45</v>
      </c>
    </row>
    <row r="1089" spans="1:6" ht="14.1" customHeight="1" x14ac:dyDescent="0.25">
      <c r="A1089" s="33" t="s">
        <v>226</v>
      </c>
      <c r="B1089" s="34" t="str">
        <f ca="1">IFERROR(INDEX(UNSPSCDes,MATCH(INDIRECT(ADDRESS(ROW(),COLUMN()-1,4)),UNSPSCCode,0)),IF(INDIRECT(ADDRESS(ROW(),COLUMN()-1,4))="47131604","Escobas",""))</f>
        <v>Escobas</v>
      </c>
      <c r="C1089" s="35" t="str">
        <f>IFERROR(VLOOKUP("UD",'[1]Informacion '!P:Q,2,FALSE),"")</f>
        <v>Unidad</v>
      </c>
      <c r="D1089" s="33">
        <v>10</v>
      </c>
      <c r="E1089" s="36">
        <v>150</v>
      </c>
      <c r="F1089" s="37">
        <f t="shared" ref="F1089:F1116" ca="1" si="27">INDIRECT(ADDRESS(ROW(),COLUMN()-2,4))*INDIRECT(ADDRESS(ROW(),COLUMN()-1,4))</f>
        <v>1500</v>
      </c>
    </row>
    <row r="1090" spans="1:6" ht="14.1" customHeight="1" x14ac:dyDescent="0.25">
      <c r="A1090" s="33" t="s">
        <v>227</v>
      </c>
      <c r="B1090" s="34" t="str">
        <f ca="1">IFERROR(INDEX(UNSPSCDes,MATCH(INDIRECT(ADDRESS(ROW(),COLUMN()-1,4)),UNSPSCCode,0)),IF(INDIRECT(ADDRESS(ROW(),COLUMN()-1,4))="47131801","Limpiadores de pisos",""))</f>
        <v>Limpiadores de pisos</v>
      </c>
      <c r="C1090" s="35" t="str">
        <f>IFERROR(VLOOKUP("UD",'[1]Informacion '!P:Q,2,FALSE),"")</f>
        <v>Unidad</v>
      </c>
      <c r="D1090" s="33">
        <v>30</v>
      </c>
      <c r="E1090" s="36">
        <v>250</v>
      </c>
      <c r="F1090" s="37">
        <f t="shared" ca="1" si="27"/>
        <v>7500</v>
      </c>
    </row>
    <row r="1091" spans="1:6" ht="14.1" customHeight="1" x14ac:dyDescent="0.25">
      <c r="A1091" s="33" t="s">
        <v>228</v>
      </c>
      <c r="B1091" s="34" t="str">
        <f ca="1">IFERROR(INDEX(UNSPSCDes,MATCH(INDIRECT(ADDRESS(ROW(),COLUMN()-1,4)),UNSPSCCode,0)),IF(INDIRECT(ADDRESS(ROW(),COLUMN()-1,4))="47131812","Refrescador de aire",""))</f>
        <v>Refrescador de aire</v>
      </c>
      <c r="C1091" s="35" t="str">
        <f>IFERROR(VLOOKUP("UD",'[1]Informacion '!P:Q,2,FALSE),"")</f>
        <v>Unidad</v>
      </c>
      <c r="D1091" s="33">
        <v>20</v>
      </c>
      <c r="E1091" s="36">
        <v>130</v>
      </c>
      <c r="F1091" s="37">
        <f t="shared" ca="1" si="27"/>
        <v>2600</v>
      </c>
    </row>
    <row r="1092" spans="1:6" ht="14.1" customHeight="1" x14ac:dyDescent="0.25">
      <c r="A1092" s="33" t="s">
        <v>229</v>
      </c>
      <c r="B1092" s="34" t="str">
        <f ca="1">IFERROR(INDEX(UNSPSCDes,MATCH(INDIRECT(ADDRESS(ROW(),COLUMN()-1,4)),UNSPSCCode,0)),IF(INDIRECT(ADDRESS(ROW(),COLUMN()-1,4))="47131603","Esponjas",""))</f>
        <v>Esponjas</v>
      </c>
      <c r="C1092" s="35" t="str">
        <f>IFERROR(VLOOKUP("UD",'[1]Informacion '!P:Q,2,FALSE),"")</f>
        <v>Unidad</v>
      </c>
      <c r="D1092" s="33">
        <v>50</v>
      </c>
      <c r="E1092" s="36">
        <v>85</v>
      </c>
      <c r="F1092" s="37">
        <f t="shared" ca="1" si="27"/>
        <v>4250</v>
      </c>
    </row>
    <row r="1093" spans="1:6" ht="14.1" customHeight="1" x14ac:dyDescent="0.25">
      <c r="A1093" s="33" t="s">
        <v>230</v>
      </c>
      <c r="B1093" s="34" t="str">
        <f ca="1">IFERROR(INDEX(UNSPSCDes,MATCH(INDIRECT(ADDRESS(ROW(),COLUMN()-1,4)),UNSPSCCode,0)),IF(INDIRECT(ADDRESS(ROW(),COLUMN()-1,4))="46181504","Guantes de protección",""))</f>
        <v>Guantes de protección</v>
      </c>
      <c r="C1093" s="35" t="str">
        <f>IFERROR(VLOOKUP("UD",'[1]Informacion '!P:Q,2,FALSE),"")</f>
        <v>Unidad</v>
      </c>
      <c r="D1093" s="33">
        <v>10</v>
      </c>
      <c r="E1093" s="36">
        <v>85</v>
      </c>
      <c r="F1093" s="37">
        <f t="shared" ca="1" si="27"/>
        <v>850</v>
      </c>
    </row>
    <row r="1094" spans="1:6" ht="14.1" customHeight="1" x14ac:dyDescent="0.25">
      <c r="A1094" s="33" t="s">
        <v>231</v>
      </c>
      <c r="B1094" s="34" t="str">
        <f ca="1">IFERROR(INDEX(UNSPSCDes,MATCH(INDIRECT(ADDRESS(ROW(),COLUMN()-1,4)),UNSPSCCode,0)),IF(INDIRECT(ADDRESS(ROW(),COLUMN()-1,4))="47131827","Limpiadores o removedores de manchas",""))</f>
        <v>Limpiadores o removedores de manchas</v>
      </c>
      <c r="C1094" s="35" t="str">
        <f>IFERROR(VLOOKUP("UD",'[1]Informacion '!P:Q,2,FALSE),"")</f>
        <v>Unidad</v>
      </c>
      <c r="D1094" s="33">
        <v>5</v>
      </c>
      <c r="E1094" s="36">
        <v>390</v>
      </c>
      <c r="F1094" s="37">
        <f t="shared" ca="1" si="27"/>
        <v>1950</v>
      </c>
    </row>
    <row r="1095" spans="1:6" ht="14.1" customHeight="1" x14ac:dyDescent="0.25">
      <c r="A1095" s="33" t="s">
        <v>232</v>
      </c>
      <c r="B1095" s="34" t="str">
        <f ca="1">IFERROR(INDEX(UNSPSCDes,MATCH(INDIRECT(ADDRESS(ROW(),COLUMN()-1,4)),UNSPSCCode,0)),IF(INDIRECT(ADDRESS(ROW(),COLUMN()-1,4))="14111703","Toallas de papel",""))</f>
        <v>Toallas de papel</v>
      </c>
      <c r="C1095" s="35" t="str">
        <f>IFERROR(VLOOKUP("UD",'[1]Informacion '!P:Q,2,FALSE),"")</f>
        <v>Unidad</v>
      </c>
      <c r="D1095" s="33">
        <v>300</v>
      </c>
      <c r="E1095" s="36">
        <v>400</v>
      </c>
      <c r="F1095" s="37">
        <f t="shared" ca="1" si="27"/>
        <v>120000</v>
      </c>
    </row>
    <row r="1096" spans="1:6" ht="14.1" customHeight="1" x14ac:dyDescent="0.25">
      <c r="A1096" s="33" t="s">
        <v>233</v>
      </c>
      <c r="B1096" s="34" t="str">
        <f ca="1">IFERROR(INDEX(UNSPSCDes,MATCH(INDIRECT(ADDRESS(ROW(),COLUMN()-1,4)),UNSPSCCode,0)),IF(INDIRECT(ADDRESS(ROW(),COLUMN()-1,4))="14111704","Papel higiénico",""))</f>
        <v>Papel higiénico</v>
      </c>
      <c r="C1096" s="35" t="str">
        <f>IFERROR(VLOOKUP("UD",'[1]Informacion '!P:Q,2,FALSE),"")</f>
        <v>Unidad</v>
      </c>
      <c r="D1096" s="33">
        <v>300</v>
      </c>
      <c r="E1096" s="36">
        <v>228</v>
      </c>
      <c r="F1096" s="37">
        <f t="shared" ca="1" si="27"/>
        <v>68400</v>
      </c>
    </row>
    <row r="1097" spans="1:6" ht="14.1" customHeight="1" x14ac:dyDescent="0.25">
      <c r="A1097" s="33" t="s">
        <v>234</v>
      </c>
      <c r="B1097" s="34" t="str">
        <f ca="1">IFERROR(INDEX(UNSPSCDes,MATCH(INDIRECT(ADDRESS(ROW(),COLUMN()-1,4)),UNSPSCCode,0)),IF(INDIRECT(ADDRESS(ROW(),COLUMN()-1,4))="14111705","Servilletas de papel",""))</f>
        <v>Servilletas de papel</v>
      </c>
      <c r="C1097" s="35" t="str">
        <f>IFERROR(VLOOKUP("UD",'[1]Informacion '!P:Q,2,FALSE),"")</f>
        <v>Unidad</v>
      </c>
      <c r="D1097" s="33">
        <v>120</v>
      </c>
      <c r="E1097" s="36">
        <v>100</v>
      </c>
      <c r="F1097" s="37">
        <f t="shared" ca="1" si="27"/>
        <v>12000</v>
      </c>
    </row>
    <row r="1098" spans="1:6" ht="14.1" customHeight="1" x14ac:dyDescent="0.25">
      <c r="A1098" s="33" t="s">
        <v>235</v>
      </c>
      <c r="B1098" s="34" t="str">
        <f ca="1">IFERROR(INDEX(UNSPSCDes,MATCH(INDIRECT(ADDRESS(ROW(),COLUMN()-1,4)),UNSPSCCode,0)),IF(INDIRECT(ADDRESS(ROW(),COLUMN()-1,4))="47121701","Bolsas de basura",""))</f>
        <v>Bolsas de basura</v>
      </c>
      <c r="C1098" s="35" t="str">
        <f>IFERROR(VLOOKUP("PAQ",'[1]Informacion '!P:Q,2,FALSE),"")</f>
        <v>Paquete</v>
      </c>
      <c r="D1098" s="33">
        <v>3</v>
      </c>
      <c r="E1098" s="36">
        <v>1300</v>
      </c>
      <c r="F1098" s="37">
        <f t="shared" ca="1" si="27"/>
        <v>3900</v>
      </c>
    </row>
    <row r="1099" spans="1:6" ht="14.1" customHeight="1" x14ac:dyDescent="0.25">
      <c r="A1099" s="33" t="s">
        <v>235</v>
      </c>
      <c r="B1099" s="34" t="str">
        <f ca="1">IFERROR(INDEX(UNSPSCDes,MATCH(INDIRECT(ADDRESS(ROW(),COLUMN()-1,4)),UNSPSCCode,0)),IF(INDIRECT(ADDRESS(ROW(),COLUMN()-1,4))="47121701","Bolsas de basura",""))</f>
        <v>Bolsas de basura</v>
      </c>
      <c r="C1099" s="35" t="str">
        <f>IFERROR(VLOOKUP("PAQ",'[1]Informacion '!P:Q,2,FALSE),"")</f>
        <v>Paquete</v>
      </c>
      <c r="D1099" s="33">
        <v>30</v>
      </c>
      <c r="E1099" s="36">
        <v>55</v>
      </c>
      <c r="F1099" s="37">
        <f t="shared" ca="1" si="27"/>
        <v>1650</v>
      </c>
    </row>
    <row r="1100" spans="1:6" ht="14.1" customHeight="1" x14ac:dyDescent="0.25">
      <c r="A1100" s="33" t="s">
        <v>235</v>
      </c>
      <c r="B1100" s="34" t="str">
        <f ca="1">IFERROR(INDEX(UNSPSCDes,MATCH(INDIRECT(ADDRESS(ROW(),COLUMN()-1,4)),UNSPSCCode,0)),IF(INDIRECT(ADDRESS(ROW(),COLUMN()-1,4))="47121701","Bolsas de basura",""))</f>
        <v>Bolsas de basura</v>
      </c>
      <c r="C1100" s="35" t="str">
        <f>IFERROR(VLOOKUP("PAQ",'[1]Informacion '!P:Q,2,FALSE),"")</f>
        <v>Paquete</v>
      </c>
      <c r="D1100" s="33">
        <v>30</v>
      </c>
      <c r="E1100" s="36">
        <v>50</v>
      </c>
      <c r="F1100" s="37">
        <f t="shared" ca="1" si="27"/>
        <v>1500</v>
      </c>
    </row>
    <row r="1101" spans="1:6" ht="14.1" customHeight="1" x14ac:dyDescent="0.25">
      <c r="A1101" s="33" t="s">
        <v>235</v>
      </c>
      <c r="B1101" s="34" t="str">
        <f ca="1">IFERROR(INDEX(UNSPSCDes,MATCH(INDIRECT(ADDRESS(ROW(),COLUMN()-1,4)),UNSPSCCode,0)),IF(INDIRECT(ADDRESS(ROW(),COLUMN()-1,4))="47121701","Bolsas de basura",""))</f>
        <v>Bolsas de basura</v>
      </c>
      <c r="C1101" s="35" t="str">
        <f>IFERROR(VLOOKUP("PAQ",'[1]Informacion '!P:Q,2,FALSE),"")</f>
        <v>Paquete</v>
      </c>
      <c r="D1101" s="33">
        <v>30</v>
      </c>
      <c r="E1101" s="36">
        <v>45</v>
      </c>
      <c r="F1101" s="37">
        <f t="shared" ca="1" si="27"/>
        <v>1350</v>
      </c>
    </row>
    <row r="1102" spans="1:6" ht="14.1" customHeight="1" x14ac:dyDescent="0.25">
      <c r="A1102" s="33" t="s">
        <v>236</v>
      </c>
      <c r="B1102" s="34" t="str">
        <f ca="1">IFERROR(INDEX(UNSPSCDes,MATCH(INDIRECT(ADDRESS(ROW(),COLUMN()-1,4)),UNSPSCCode,0)),IF(INDIRECT(ADDRESS(ROW(),COLUMN()-1,4))="47131502","Pañitos o toallas para limpiar",""))</f>
        <v>Pañitos o toallas para limpiar</v>
      </c>
      <c r="C1102" s="35" t="str">
        <f>IFERROR(VLOOKUP("UD",'[1]Informacion '!P:Q,2,FALSE),"")</f>
        <v>Unidad</v>
      </c>
      <c r="D1102" s="33">
        <v>15</v>
      </c>
      <c r="E1102" s="36">
        <v>85</v>
      </c>
      <c r="F1102" s="37">
        <f t="shared" ca="1" si="27"/>
        <v>1275</v>
      </c>
    </row>
    <row r="1103" spans="1:6" ht="14.1" customHeight="1" x14ac:dyDescent="0.25">
      <c r="A1103" s="33" t="s">
        <v>237</v>
      </c>
      <c r="B1103" s="34" t="str">
        <f ca="1">IFERROR(INDEX(UNSPSCDes,MATCH(INDIRECT(ADDRESS(ROW(),COLUMN()-1,4)),UNSPSCCode,0)),IF(INDIRECT(ADDRESS(ROW(),COLUMN()-1,4))="52151504","Tazas o vasos o tapas desechables para uso doméstico",""))</f>
        <v>Tazas o vasos o tapas desechables para uso doméstico</v>
      </c>
      <c r="C1103" s="35" t="str">
        <f>IFERROR(VLOOKUP("CAJ",'[1]Informacion '!P:Q,2,FALSE),"")</f>
        <v>Caja</v>
      </c>
      <c r="D1103" s="33">
        <v>14</v>
      </c>
      <c r="E1103" s="36">
        <v>1900</v>
      </c>
      <c r="F1103" s="37">
        <f t="shared" ca="1" si="27"/>
        <v>26600</v>
      </c>
    </row>
    <row r="1104" spans="1:6" ht="14.1" customHeight="1" x14ac:dyDescent="0.25">
      <c r="A1104" s="33" t="s">
        <v>237</v>
      </c>
      <c r="B1104" s="34" t="str">
        <f ca="1">IFERROR(INDEX(UNSPSCDes,MATCH(INDIRECT(ADDRESS(ROW(),COLUMN()-1,4)),UNSPSCCode,0)),IF(INDIRECT(ADDRESS(ROW(),COLUMN()-1,4))="52151504","Tazas o vasos o tapas desechables para uso doméstico",""))</f>
        <v>Tazas o vasos o tapas desechables para uso doméstico</v>
      </c>
      <c r="C1104" s="35" t="str">
        <f>IFERROR(VLOOKUP("CAJ",'[1]Informacion '!P:Q,2,FALSE),"")</f>
        <v>Caja</v>
      </c>
      <c r="D1104" s="33">
        <v>14</v>
      </c>
      <c r="E1104" s="36">
        <v>1600</v>
      </c>
      <c r="F1104" s="37">
        <f t="shared" ca="1" si="27"/>
        <v>22400</v>
      </c>
    </row>
    <row r="1105" spans="1:10" ht="14.1" customHeight="1" x14ac:dyDescent="0.25">
      <c r="A1105" s="33" t="s">
        <v>238</v>
      </c>
      <c r="B1105" s="34" t="str">
        <f ca="1">IFERROR(INDEX(UNSPSCDes,MATCH(INDIRECT(ADDRESS(ROW(),COLUMN()-1,4)),UNSPSCCode,0)),IF(INDIRECT(ADDRESS(ROW(),COLUMN()-1,4))="47131618","Traperos húmedos",""))</f>
        <v>Traperos húmedos</v>
      </c>
      <c r="C1105" s="35" t="str">
        <f>IFERROR(VLOOKUP("UD",'[1]Informacion '!P:Q,2,FALSE),"")</f>
        <v>Unidad</v>
      </c>
      <c r="D1105" s="33">
        <v>20</v>
      </c>
      <c r="E1105" s="36">
        <v>260</v>
      </c>
      <c r="F1105" s="37">
        <f t="shared" ca="1" si="27"/>
        <v>5200</v>
      </c>
    </row>
    <row r="1106" spans="1:10" ht="14.1" customHeight="1" x14ac:dyDescent="0.25">
      <c r="A1106" s="33" t="s">
        <v>239</v>
      </c>
      <c r="B1106" s="34" t="str">
        <f ca="1">IFERROR(INDEX(UNSPSCDes,MATCH(INDIRECT(ADDRESS(ROW(),COLUMN()-1,4)),UNSPSCCode,0)),IF(INDIRECT(ADDRESS(ROW(),COLUMN()-1,4))="53131608","Jabones",""))</f>
        <v>Jabones</v>
      </c>
      <c r="C1106" s="35" t="str">
        <f>IFERROR(VLOOKUP("GAL",'[1]Informacion '!P:Q,2,FALSE),"")</f>
        <v>Galón</v>
      </c>
      <c r="D1106" s="33">
        <v>9</v>
      </c>
      <c r="E1106" s="36">
        <v>230</v>
      </c>
      <c r="F1106" s="37">
        <f t="shared" ca="1" si="27"/>
        <v>2070</v>
      </c>
    </row>
    <row r="1107" spans="1:10" ht="14.1" customHeight="1" x14ac:dyDescent="0.25">
      <c r="A1107" s="33" t="s">
        <v>239</v>
      </c>
      <c r="B1107" s="34" t="str">
        <f ca="1">IFERROR(INDEX(UNSPSCDes,MATCH(INDIRECT(ADDRESS(ROW(),COLUMN()-1,4)),UNSPSCCode,0)),IF(INDIRECT(ADDRESS(ROW(),COLUMN()-1,4))="53131608","Jabones",""))</f>
        <v>Jabones</v>
      </c>
      <c r="C1107" s="35" t="str">
        <f>IFERROR(VLOOKUP("UD",'[1]Informacion '!P:Q,2,FALSE),"")</f>
        <v>Unidad</v>
      </c>
      <c r="D1107" s="33">
        <v>12</v>
      </c>
      <c r="E1107" s="36">
        <v>600</v>
      </c>
      <c r="F1107" s="37">
        <f t="shared" ca="1" si="27"/>
        <v>7200</v>
      </c>
    </row>
    <row r="1108" spans="1:10" ht="14.1" customHeight="1" x14ac:dyDescent="0.25">
      <c r="A1108" s="33" t="s">
        <v>240</v>
      </c>
      <c r="B1108" s="34" t="str">
        <f ca="1">IFERROR(INDEX(UNSPSCDes,MATCH(INDIRECT(ADDRESS(ROW(),COLUMN()-1,4)),UNSPSCCode,0)),IF(INDIRECT(ADDRESS(ROW(),COLUMN()-1,4))="53131626","Desinfectante de manos",""))</f>
        <v>Desinfectante de manos</v>
      </c>
      <c r="C1108" s="35" t="str">
        <f>IFERROR(VLOOKUP("GAL",'[1]Informacion '!P:Q,2,FALSE),"")</f>
        <v>Galón</v>
      </c>
      <c r="D1108" s="33">
        <v>6</v>
      </c>
      <c r="E1108" s="36">
        <v>1400</v>
      </c>
      <c r="F1108" s="37">
        <f t="shared" ca="1" si="27"/>
        <v>8400</v>
      </c>
    </row>
    <row r="1109" spans="1:10" ht="14.1" customHeight="1" x14ac:dyDescent="0.25">
      <c r="A1109" s="33" t="s">
        <v>241</v>
      </c>
      <c r="B1109" s="34" t="str">
        <f ca="1">IFERROR(INDEX(UNSPSCDes,MATCH(INDIRECT(ADDRESS(ROW(),COLUMN()-1,4)),UNSPSCCode,0)),IF(INDIRECT(ADDRESS(ROW(),COLUMN()-1,4))="47131807","Blanqueadores",""))</f>
        <v>Blanqueadores</v>
      </c>
      <c r="C1109" s="35" t="str">
        <f>IFERROR(VLOOKUP("GAL",'[1]Informacion '!P:Q,2,FALSE),"")</f>
        <v>Galón</v>
      </c>
      <c r="D1109" s="33">
        <v>30</v>
      </c>
      <c r="E1109" s="36">
        <v>75</v>
      </c>
      <c r="F1109" s="37">
        <f t="shared" ca="1" si="27"/>
        <v>2250</v>
      </c>
    </row>
    <row r="1110" spans="1:10" ht="14.1" customHeight="1" x14ac:dyDescent="0.25">
      <c r="A1110" s="33" t="s">
        <v>242</v>
      </c>
      <c r="B1110" s="34" t="str">
        <f ca="1">IFERROR(INDEX(UNSPSCDes,MATCH(INDIRECT(ADDRESS(ROW(),COLUMN()-1,4)),UNSPSCCode,0)),IF(INDIRECT(ADDRESS(ROW(),COLUMN()-1,4))="47131608","Cepillos de baño",""))</f>
        <v>Cepillos de baño</v>
      </c>
      <c r="C1110" s="35" t="str">
        <f>IFERROR(VLOOKUP("UD",'[1]Informacion '!P:Q,2,FALSE),"")</f>
        <v>Unidad</v>
      </c>
      <c r="D1110" s="33">
        <v>5</v>
      </c>
      <c r="E1110" s="36">
        <v>150</v>
      </c>
      <c r="F1110" s="37">
        <f t="shared" ca="1" si="27"/>
        <v>750</v>
      </c>
    </row>
    <row r="1111" spans="1:10" ht="14.1" customHeight="1" x14ac:dyDescent="0.25">
      <c r="A1111" s="33" t="s">
        <v>243</v>
      </c>
      <c r="B1111" s="34" t="str">
        <f ca="1">IFERROR(INDEX(UNSPSCDes,MATCH(INDIRECT(ADDRESS(ROW(),COLUMN()-1,4)),UNSPSCCode,0)),IF(INDIRECT(ADDRESS(ROW(),COLUMN()-1,4))="14111701","Pañuelos faciales",""))</f>
        <v>Pañuelos faciales</v>
      </c>
      <c r="C1111" s="35" t="str">
        <f>IFERROR(VLOOKUP("CAJ",'[1]Informacion '!P:Q,2,FALSE),"")</f>
        <v>Caja</v>
      </c>
      <c r="D1111" s="33">
        <v>10</v>
      </c>
      <c r="E1111" s="36">
        <v>160</v>
      </c>
      <c r="F1111" s="37">
        <f t="shared" ca="1" si="27"/>
        <v>1600</v>
      </c>
    </row>
    <row r="1112" spans="1:10" ht="14.1" customHeight="1" x14ac:dyDescent="0.25">
      <c r="A1112" s="33" t="s">
        <v>244</v>
      </c>
      <c r="B1112" s="34" t="str">
        <f ca="1">IFERROR(INDEX(UNSPSCDes,MATCH(INDIRECT(ADDRESS(ROW(),COLUMN()-1,4)),UNSPSCCode,0)),IF(INDIRECT(ADDRESS(ROW(),COLUMN()-1,4))="12161902","Surfactantes detergentes",""))</f>
        <v>Surfactantes detergentes</v>
      </c>
      <c r="C1112" s="35" t="str">
        <f>IFERROR(VLOOKUP("PAQ",'[1]Informacion '!P:Q,2,FALSE),"")</f>
        <v>Paquete</v>
      </c>
      <c r="D1112" s="33">
        <v>60</v>
      </c>
      <c r="E1112" s="36">
        <v>95</v>
      </c>
      <c r="F1112" s="37">
        <f t="shared" ca="1" si="27"/>
        <v>5700</v>
      </c>
    </row>
    <row r="1113" spans="1:10" ht="14.1" customHeight="1" x14ac:dyDescent="0.25">
      <c r="A1113" s="33" t="s">
        <v>245</v>
      </c>
      <c r="B1113" s="34" t="str">
        <f ca="1">IFERROR(INDEX(UNSPSCDes,MATCH(INDIRECT(ADDRESS(ROW(),COLUMN()-1,4)),UNSPSCCode,0)),IF(INDIRECT(ADDRESS(ROW(),COLUMN()-1,4))="47131602","Almohadillas para restregar",""))</f>
        <v>Almohadillas para restregar</v>
      </c>
      <c r="C1113" s="35" t="str">
        <f>IFERROR(VLOOKUP("UD",'[1]Informacion '!P:Q,2,FALSE),"")</f>
        <v>Unidad</v>
      </c>
      <c r="D1113" s="33">
        <v>15</v>
      </c>
      <c r="E1113" s="36">
        <v>60</v>
      </c>
      <c r="F1113" s="37">
        <f t="shared" ca="1" si="27"/>
        <v>900</v>
      </c>
    </row>
    <row r="1114" spans="1:10" ht="14.1" customHeight="1" x14ac:dyDescent="0.25">
      <c r="A1114" s="33" t="s">
        <v>239</v>
      </c>
      <c r="B1114" s="34" t="str">
        <f ca="1">IFERROR(INDEX(UNSPSCDes,MATCH(INDIRECT(ADDRESS(ROW(),COLUMN()-1,4)),UNSPSCCode,0)),IF(INDIRECT(ADDRESS(ROW(),COLUMN()-1,4))="53131608","Jabones",""))</f>
        <v>Jabones</v>
      </c>
      <c r="C1114" s="35" t="str">
        <f>IFERROR(VLOOKUP("PAQ",'[1]Informacion '!P:Q,2,FALSE),"")</f>
        <v>Paquete</v>
      </c>
      <c r="D1114" s="33">
        <v>10</v>
      </c>
      <c r="E1114" s="36">
        <v>130</v>
      </c>
      <c r="F1114" s="37">
        <f t="shared" ca="1" si="27"/>
        <v>1300</v>
      </c>
    </row>
    <row r="1115" spans="1:10" ht="14.1" customHeight="1" x14ac:dyDescent="0.25">
      <c r="A1115" s="33" t="s">
        <v>228</v>
      </c>
      <c r="B1115" s="34" t="str">
        <f ca="1">IFERROR(INDEX(UNSPSCDes,MATCH(INDIRECT(ADDRESS(ROW(),COLUMN()-1,4)),UNSPSCCode,0)),IF(INDIRECT(ADDRESS(ROW(),COLUMN()-1,4))="47131812","Refrescador de aire",""))</f>
        <v>Refrescador de aire</v>
      </c>
      <c r="C1115" s="35" t="str">
        <f>IFERROR(VLOOKUP("UD",'[1]Informacion '!P:Q,2,FALSE),"")</f>
        <v>Unidad</v>
      </c>
      <c r="D1115" s="33">
        <v>10</v>
      </c>
      <c r="E1115" s="36">
        <v>237</v>
      </c>
      <c r="F1115" s="37">
        <f t="shared" ca="1" si="27"/>
        <v>2370</v>
      </c>
    </row>
    <row r="1116" spans="1:10" ht="14.1" customHeight="1" x14ac:dyDescent="0.25">
      <c r="A1116" s="33" t="s">
        <v>246</v>
      </c>
      <c r="B1116" s="34" t="str">
        <f ca="1">IFERROR(INDEX(UNSPSCDes,MATCH(INDIRECT(ADDRESS(ROW(),COLUMN()-1,4)),UNSPSCCode,0)),IF(INDIRECT(ADDRESS(ROW(),COLUMN()-1,4))="47131824","Limpiadores de vidrio o ventanas",""))</f>
        <v>Limpiadores de vidrio o ventanas</v>
      </c>
      <c r="C1116" s="35" t="str">
        <f>IFERROR(VLOOKUP("GAL",'[1]Informacion '!P:Q,2,FALSE),"")</f>
        <v>Galón</v>
      </c>
      <c r="D1116" s="33">
        <v>5</v>
      </c>
      <c r="E1116" s="36">
        <v>190</v>
      </c>
      <c r="F1116" s="37">
        <f t="shared" ca="1" si="27"/>
        <v>950</v>
      </c>
    </row>
    <row r="1117" spans="1:10" ht="14.1" customHeight="1" x14ac:dyDescent="0.25">
      <c r="E1117" s="38" t="s">
        <v>48</v>
      </c>
      <c r="F1117" s="39">
        <f ca="1">SUM(Table60[MONTO TOTAL ESTIMADO])</f>
        <v>316415</v>
      </c>
      <c r="H1117" s="25" t="str">
        <f>C1082</f>
        <v>Bienes</v>
      </c>
      <c r="I1117" s="25" t="str">
        <f>E1082</f>
        <v>MIPYME Mujeres</v>
      </c>
      <c r="J1117" s="25" t="str">
        <f>D1082</f>
        <v>Compras Menores</v>
      </c>
    </row>
    <row r="1118" spans="1:10" ht="14.1" customHeight="1" x14ac:dyDescent="0.25"/>
    <row r="1119" spans="1:10" ht="34.15" customHeight="1" thickBot="1" x14ac:dyDescent="0.3">
      <c r="A1119" s="24" t="s">
        <v>19</v>
      </c>
      <c r="B1119" s="24" t="s">
        <v>20</v>
      </c>
      <c r="C1119" s="24" t="s">
        <v>21</v>
      </c>
      <c r="D1119" s="24" t="s">
        <v>22</v>
      </c>
      <c r="E1119" s="24" t="s">
        <v>23</v>
      </c>
      <c r="F1119" s="24" t="s">
        <v>24</v>
      </c>
    </row>
    <row r="1120" spans="1:10" ht="14.1" customHeight="1" thickBot="1" x14ac:dyDescent="0.3">
      <c r="A1120" s="26" t="s">
        <v>224</v>
      </c>
      <c r="B1120" s="26" t="s">
        <v>224</v>
      </c>
      <c r="C1120" s="26" t="s">
        <v>27</v>
      </c>
      <c r="D1120" s="26" t="s">
        <v>28</v>
      </c>
      <c r="E1120" s="26" t="s">
        <v>225</v>
      </c>
      <c r="F1120" s="26"/>
    </row>
    <row r="1121" spans="1:6" ht="14.1" customHeight="1" thickBot="1" x14ac:dyDescent="0.3">
      <c r="A1121" s="43" t="s">
        <v>30</v>
      </c>
      <c r="B1121" s="27" t="s">
        <v>31</v>
      </c>
      <c r="C1121" s="28">
        <v>44743</v>
      </c>
      <c r="D1121" s="43" t="s">
        <v>32</v>
      </c>
      <c r="E1121" s="29" t="s">
        <v>33</v>
      </c>
      <c r="F1121" s="30" t="s">
        <v>34</v>
      </c>
    </row>
    <row r="1122" spans="1:6" ht="14.1" customHeight="1" thickBot="1" x14ac:dyDescent="0.3">
      <c r="A1122" s="44"/>
      <c r="B1122" s="27" t="s">
        <v>35</v>
      </c>
      <c r="C1122" s="31">
        <f>IF(C1121="","",IF(AND(MONTH(C1121)&gt;=1,MONTH(C1121)&lt;=3),1,IF(AND(MONTH(C1121)&gt;=4,MONTH(C1121)&lt;=6),2,IF(AND(MONTH(C1121)&gt;=7,MONTH(C1121)&lt;=9),3,4))))</f>
        <v>3</v>
      </c>
      <c r="D1122" s="44"/>
      <c r="E1122" s="29" t="s">
        <v>36</v>
      </c>
      <c r="F1122" s="30"/>
    </row>
    <row r="1123" spans="1:6" ht="14.1" customHeight="1" thickBot="1" x14ac:dyDescent="0.3">
      <c r="A1123" s="44"/>
      <c r="B1123" s="27" t="s">
        <v>37</v>
      </c>
      <c r="C1123" s="28">
        <v>44834</v>
      </c>
      <c r="D1123" s="44"/>
      <c r="E1123" s="29" t="s">
        <v>38</v>
      </c>
      <c r="F1123" s="30"/>
    </row>
    <row r="1124" spans="1:6" ht="14.1" customHeight="1" thickBot="1" x14ac:dyDescent="0.3">
      <c r="A1124" s="44"/>
      <c r="B1124" s="27" t="s">
        <v>35</v>
      </c>
      <c r="C1124" s="31">
        <f>IF(C1123="","",IF(AND(MONTH(C1123)&gt;=1,MONTH(C1123)&lt;=3),1,IF(AND(MONTH(C1123)&gt;=4,MONTH(C1123)&lt;=6),2,IF(AND(MONTH(C1123)&gt;=7,MONTH(C1123)&lt;=9),3,4))))</f>
        <v>3</v>
      </c>
      <c r="D1124" s="44"/>
      <c r="E1124" s="29" t="s">
        <v>39</v>
      </c>
      <c r="F1124" s="30"/>
    </row>
    <row r="1125" spans="1:6" ht="14.1" customHeight="1" x14ac:dyDescent="0.25"/>
    <row r="1126" spans="1:6" ht="14.1" customHeight="1" thickBot="1" x14ac:dyDescent="0.3">
      <c r="A1126" s="32" t="s">
        <v>40</v>
      </c>
      <c r="B1126" s="32" t="s">
        <v>41</v>
      </c>
      <c r="C1126" s="32" t="s">
        <v>42</v>
      </c>
      <c r="D1126" s="32" t="s">
        <v>43</v>
      </c>
      <c r="E1126" s="32" t="s">
        <v>44</v>
      </c>
      <c r="F1126" s="32" t="s">
        <v>45</v>
      </c>
    </row>
    <row r="1127" spans="1:6" ht="14.1" customHeight="1" x14ac:dyDescent="0.25">
      <c r="A1127" s="33" t="s">
        <v>226</v>
      </c>
      <c r="B1127" s="34" t="str">
        <f ca="1">IFERROR(INDEX(UNSPSCDes,MATCH(INDIRECT(ADDRESS(ROW(),COLUMN()-1,4)),UNSPSCCode,0)),IF(INDIRECT(ADDRESS(ROW(),COLUMN()-1,4))="47131604","Escobas",""))</f>
        <v>Escobas</v>
      </c>
      <c r="C1127" s="35" t="str">
        <f>IFERROR(VLOOKUP("UD",'[1]Informacion '!P:Q,2,FALSE),"")</f>
        <v>Unidad</v>
      </c>
      <c r="D1127" s="33">
        <v>10</v>
      </c>
      <c r="E1127" s="36">
        <v>150</v>
      </c>
      <c r="F1127" s="37">
        <f t="shared" ref="F1127:F1154" ca="1" si="28">INDIRECT(ADDRESS(ROW(),COLUMN()-2,4))*INDIRECT(ADDRESS(ROW(),COLUMN()-1,4))</f>
        <v>1500</v>
      </c>
    </row>
    <row r="1128" spans="1:6" ht="14.1" customHeight="1" x14ac:dyDescent="0.25">
      <c r="A1128" s="33" t="s">
        <v>227</v>
      </c>
      <c r="B1128" s="34" t="str">
        <f ca="1">IFERROR(INDEX(UNSPSCDes,MATCH(INDIRECT(ADDRESS(ROW(),COLUMN()-1,4)),UNSPSCCode,0)),IF(INDIRECT(ADDRESS(ROW(),COLUMN()-1,4))="47131801","Limpiadores de pisos",""))</f>
        <v>Limpiadores de pisos</v>
      </c>
      <c r="C1128" s="35" t="str">
        <f>IFERROR(VLOOKUP("UD",'[1]Informacion '!P:Q,2,FALSE),"")</f>
        <v>Unidad</v>
      </c>
      <c r="D1128" s="33">
        <v>30</v>
      </c>
      <c r="E1128" s="36">
        <v>250</v>
      </c>
      <c r="F1128" s="37">
        <f t="shared" ca="1" si="28"/>
        <v>7500</v>
      </c>
    </row>
    <row r="1129" spans="1:6" ht="14.1" customHeight="1" x14ac:dyDescent="0.25">
      <c r="A1129" s="33" t="s">
        <v>228</v>
      </c>
      <c r="B1129" s="34" t="str">
        <f ca="1">IFERROR(INDEX(UNSPSCDes,MATCH(INDIRECT(ADDRESS(ROW(),COLUMN()-1,4)),UNSPSCCode,0)),IF(INDIRECT(ADDRESS(ROW(),COLUMN()-1,4))="47131812","Refrescador de aire",""))</f>
        <v>Refrescador de aire</v>
      </c>
      <c r="C1129" s="35" t="str">
        <f>IFERROR(VLOOKUP("UD",'[1]Informacion '!P:Q,2,FALSE),"")</f>
        <v>Unidad</v>
      </c>
      <c r="D1129" s="33">
        <v>20</v>
      </c>
      <c r="E1129" s="36">
        <v>130</v>
      </c>
      <c r="F1129" s="37">
        <f t="shared" ca="1" si="28"/>
        <v>2600</v>
      </c>
    </row>
    <row r="1130" spans="1:6" ht="14.1" customHeight="1" x14ac:dyDescent="0.25">
      <c r="A1130" s="33" t="s">
        <v>229</v>
      </c>
      <c r="B1130" s="34" t="str">
        <f ca="1">IFERROR(INDEX(UNSPSCDes,MATCH(INDIRECT(ADDRESS(ROW(),COLUMN()-1,4)),UNSPSCCode,0)),IF(INDIRECT(ADDRESS(ROW(),COLUMN()-1,4))="47131603","Esponjas",""))</f>
        <v>Esponjas</v>
      </c>
      <c r="C1130" s="35" t="str">
        <f>IFERROR(VLOOKUP("UD",'[1]Informacion '!P:Q,2,FALSE),"")</f>
        <v>Unidad</v>
      </c>
      <c r="D1130" s="33">
        <v>50</v>
      </c>
      <c r="E1130" s="36">
        <v>85</v>
      </c>
      <c r="F1130" s="37">
        <f t="shared" ca="1" si="28"/>
        <v>4250</v>
      </c>
    </row>
    <row r="1131" spans="1:6" ht="14.1" customHeight="1" x14ac:dyDescent="0.25">
      <c r="A1131" s="33" t="s">
        <v>230</v>
      </c>
      <c r="B1131" s="34" t="str">
        <f ca="1">IFERROR(INDEX(UNSPSCDes,MATCH(INDIRECT(ADDRESS(ROW(),COLUMN()-1,4)),UNSPSCCode,0)),IF(INDIRECT(ADDRESS(ROW(),COLUMN()-1,4))="46181504","Guantes de protección",""))</f>
        <v>Guantes de protección</v>
      </c>
      <c r="C1131" s="35" t="str">
        <f>IFERROR(VLOOKUP("UD",'[1]Informacion '!P:Q,2,FALSE),"")</f>
        <v>Unidad</v>
      </c>
      <c r="D1131" s="33">
        <v>10</v>
      </c>
      <c r="E1131" s="36">
        <v>85</v>
      </c>
      <c r="F1131" s="37">
        <f t="shared" ca="1" si="28"/>
        <v>850</v>
      </c>
    </row>
    <row r="1132" spans="1:6" ht="14.1" customHeight="1" x14ac:dyDescent="0.25">
      <c r="A1132" s="33" t="s">
        <v>231</v>
      </c>
      <c r="B1132" s="34" t="str">
        <f ca="1">IFERROR(INDEX(UNSPSCDes,MATCH(INDIRECT(ADDRESS(ROW(),COLUMN()-1,4)),UNSPSCCode,0)),IF(INDIRECT(ADDRESS(ROW(),COLUMN()-1,4))="47131827","Limpiadores o removedores de manchas",""))</f>
        <v>Limpiadores o removedores de manchas</v>
      </c>
      <c r="C1132" s="35" t="str">
        <f>IFERROR(VLOOKUP("UD",'[1]Informacion '!P:Q,2,FALSE),"")</f>
        <v>Unidad</v>
      </c>
      <c r="D1132" s="33">
        <v>5</v>
      </c>
      <c r="E1132" s="36">
        <v>390</v>
      </c>
      <c r="F1132" s="37">
        <f t="shared" ca="1" si="28"/>
        <v>1950</v>
      </c>
    </row>
    <row r="1133" spans="1:6" ht="14.1" customHeight="1" x14ac:dyDescent="0.25">
      <c r="A1133" s="33" t="s">
        <v>232</v>
      </c>
      <c r="B1133" s="34" t="str">
        <f ca="1">IFERROR(INDEX(UNSPSCDes,MATCH(INDIRECT(ADDRESS(ROW(),COLUMN()-1,4)),UNSPSCCode,0)),IF(INDIRECT(ADDRESS(ROW(),COLUMN()-1,4))="14111703","Toallas de papel",""))</f>
        <v>Toallas de papel</v>
      </c>
      <c r="C1133" s="35" t="str">
        <f>IFERROR(VLOOKUP("UD",'[1]Informacion '!P:Q,2,FALSE),"")</f>
        <v>Unidad</v>
      </c>
      <c r="D1133" s="33">
        <v>300</v>
      </c>
      <c r="E1133" s="36">
        <v>400</v>
      </c>
      <c r="F1133" s="37">
        <f t="shared" ca="1" si="28"/>
        <v>120000</v>
      </c>
    </row>
    <row r="1134" spans="1:6" ht="14.1" customHeight="1" x14ac:dyDescent="0.25">
      <c r="A1134" s="33" t="s">
        <v>233</v>
      </c>
      <c r="B1134" s="34" t="str">
        <f ca="1">IFERROR(INDEX(UNSPSCDes,MATCH(INDIRECT(ADDRESS(ROW(),COLUMN()-1,4)),UNSPSCCode,0)),IF(INDIRECT(ADDRESS(ROW(),COLUMN()-1,4))="14111704","Papel higiénico",""))</f>
        <v>Papel higiénico</v>
      </c>
      <c r="C1134" s="35" t="str">
        <f>IFERROR(VLOOKUP("UD",'[1]Informacion '!P:Q,2,FALSE),"")</f>
        <v>Unidad</v>
      </c>
      <c r="D1134" s="33">
        <v>300</v>
      </c>
      <c r="E1134" s="36">
        <v>228</v>
      </c>
      <c r="F1134" s="37">
        <f t="shared" ca="1" si="28"/>
        <v>68400</v>
      </c>
    </row>
    <row r="1135" spans="1:6" ht="14.1" customHeight="1" x14ac:dyDescent="0.25">
      <c r="A1135" s="33" t="s">
        <v>234</v>
      </c>
      <c r="B1135" s="34" t="str">
        <f ca="1">IFERROR(INDEX(UNSPSCDes,MATCH(INDIRECT(ADDRESS(ROW(),COLUMN()-1,4)),UNSPSCCode,0)),IF(INDIRECT(ADDRESS(ROW(),COLUMN()-1,4))="14111705","Servilletas de papel",""))</f>
        <v>Servilletas de papel</v>
      </c>
      <c r="C1135" s="35" t="str">
        <f>IFERROR(VLOOKUP("PAQ",'[1]Informacion '!P:Q,2,FALSE),"")</f>
        <v>Paquete</v>
      </c>
      <c r="D1135" s="33">
        <v>120</v>
      </c>
      <c r="E1135" s="36">
        <v>100</v>
      </c>
      <c r="F1135" s="37">
        <f t="shared" ca="1" si="28"/>
        <v>12000</v>
      </c>
    </row>
    <row r="1136" spans="1:6" ht="14.1" customHeight="1" x14ac:dyDescent="0.25">
      <c r="A1136" s="33" t="s">
        <v>235</v>
      </c>
      <c r="B1136" s="34" t="str">
        <f ca="1">IFERROR(INDEX(UNSPSCDes,MATCH(INDIRECT(ADDRESS(ROW(),COLUMN()-1,4)),UNSPSCCode,0)),IF(INDIRECT(ADDRESS(ROW(),COLUMN()-1,4))="47121701","Bolsas de basura",""))</f>
        <v>Bolsas de basura</v>
      </c>
      <c r="C1136" s="35" t="str">
        <f>IFERROR(VLOOKUP("PAQ",'[1]Informacion '!P:Q,2,FALSE),"")</f>
        <v>Paquete</v>
      </c>
      <c r="D1136" s="33">
        <v>3</v>
      </c>
      <c r="E1136" s="36">
        <v>1300</v>
      </c>
      <c r="F1136" s="37">
        <f t="shared" ca="1" si="28"/>
        <v>3900</v>
      </c>
    </row>
    <row r="1137" spans="1:6" ht="14.1" customHeight="1" x14ac:dyDescent="0.25">
      <c r="A1137" s="33" t="s">
        <v>235</v>
      </c>
      <c r="B1137" s="34" t="str">
        <f ca="1">IFERROR(INDEX(UNSPSCDes,MATCH(INDIRECT(ADDRESS(ROW(),COLUMN()-1,4)),UNSPSCCode,0)),IF(INDIRECT(ADDRESS(ROW(),COLUMN()-1,4))="47121701","Bolsas de basura",""))</f>
        <v>Bolsas de basura</v>
      </c>
      <c r="C1137" s="35" t="str">
        <f>IFERROR(VLOOKUP("PAQ",'[1]Informacion '!P:Q,2,FALSE),"")</f>
        <v>Paquete</v>
      </c>
      <c r="D1137" s="33">
        <v>30</v>
      </c>
      <c r="E1137" s="36">
        <v>55</v>
      </c>
      <c r="F1137" s="37">
        <f t="shared" ca="1" si="28"/>
        <v>1650</v>
      </c>
    </row>
    <row r="1138" spans="1:6" ht="14.1" customHeight="1" x14ac:dyDescent="0.25">
      <c r="A1138" s="33" t="s">
        <v>235</v>
      </c>
      <c r="B1138" s="34" t="str">
        <f ca="1">IFERROR(INDEX(UNSPSCDes,MATCH(INDIRECT(ADDRESS(ROW(),COLUMN()-1,4)),UNSPSCCode,0)),IF(INDIRECT(ADDRESS(ROW(),COLUMN()-1,4))="47121701","Bolsas de basura",""))</f>
        <v>Bolsas de basura</v>
      </c>
      <c r="C1138" s="35" t="str">
        <f>IFERROR(VLOOKUP("PAQ",'[1]Informacion '!P:Q,2,FALSE),"")</f>
        <v>Paquete</v>
      </c>
      <c r="D1138" s="33">
        <v>30</v>
      </c>
      <c r="E1138" s="36">
        <v>50</v>
      </c>
      <c r="F1138" s="37">
        <f t="shared" ca="1" si="28"/>
        <v>1500</v>
      </c>
    </row>
    <row r="1139" spans="1:6" ht="14.1" customHeight="1" x14ac:dyDescent="0.25">
      <c r="A1139" s="33" t="s">
        <v>235</v>
      </c>
      <c r="B1139" s="34" t="str">
        <f ca="1">IFERROR(INDEX(UNSPSCDes,MATCH(INDIRECT(ADDRESS(ROW(),COLUMN()-1,4)),UNSPSCCode,0)),IF(INDIRECT(ADDRESS(ROW(),COLUMN()-1,4))="47121701","Bolsas de basura",""))</f>
        <v>Bolsas de basura</v>
      </c>
      <c r="C1139" s="35" t="str">
        <f>IFERROR(VLOOKUP("PAQ",'[1]Informacion '!P:Q,2,FALSE),"")</f>
        <v>Paquete</v>
      </c>
      <c r="D1139" s="33">
        <v>30</v>
      </c>
      <c r="E1139" s="36">
        <v>45</v>
      </c>
      <c r="F1139" s="37">
        <f t="shared" ca="1" si="28"/>
        <v>1350</v>
      </c>
    </row>
    <row r="1140" spans="1:6" ht="14.1" customHeight="1" x14ac:dyDescent="0.25">
      <c r="A1140" s="33" t="s">
        <v>236</v>
      </c>
      <c r="B1140" s="34" t="str">
        <f ca="1">IFERROR(INDEX(UNSPSCDes,MATCH(INDIRECT(ADDRESS(ROW(),COLUMN()-1,4)),UNSPSCCode,0)),IF(INDIRECT(ADDRESS(ROW(),COLUMN()-1,4))="47131502","Pañitos o toallas para limpiar",""))</f>
        <v>Pañitos o toallas para limpiar</v>
      </c>
      <c r="C1140" s="35" t="str">
        <f>IFERROR(VLOOKUP("UD",'[1]Informacion '!P:Q,2,FALSE),"")</f>
        <v>Unidad</v>
      </c>
      <c r="D1140" s="33">
        <v>15</v>
      </c>
      <c r="E1140" s="36">
        <v>85</v>
      </c>
      <c r="F1140" s="37">
        <f t="shared" ca="1" si="28"/>
        <v>1275</v>
      </c>
    </row>
    <row r="1141" spans="1:6" ht="14.1" customHeight="1" x14ac:dyDescent="0.25">
      <c r="A1141" s="33" t="s">
        <v>237</v>
      </c>
      <c r="B1141" s="34" t="str">
        <f ca="1">IFERROR(INDEX(UNSPSCDes,MATCH(INDIRECT(ADDRESS(ROW(),COLUMN()-1,4)),UNSPSCCode,0)),IF(INDIRECT(ADDRESS(ROW(),COLUMN()-1,4))="52151504","Tazas o vasos o tapas desechables para uso doméstico",""))</f>
        <v>Tazas o vasos o tapas desechables para uso doméstico</v>
      </c>
      <c r="C1141" s="35" t="str">
        <f>IFERROR(VLOOKUP("CAJ",'[1]Informacion '!P:Q,2,FALSE),"")</f>
        <v>Caja</v>
      </c>
      <c r="D1141" s="33">
        <v>14</v>
      </c>
      <c r="E1141" s="36">
        <v>1900</v>
      </c>
      <c r="F1141" s="37">
        <f t="shared" ca="1" si="28"/>
        <v>26600</v>
      </c>
    </row>
    <row r="1142" spans="1:6" ht="14.1" customHeight="1" x14ac:dyDescent="0.25">
      <c r="A1142" s="33" t="s">
        <v>237</v>
      </c>
      <c r="B1142" s="34" t="str">
        <f ca="1">IFERROR(INDEX(UNSPSCDes,MATCH(INDIRECT(ADDRESS(ROW(),COLUMN()-1,4)),UNSPSCCode,0)),IF(INDIRECT(ADDRESS(ROW(),COLUMN()-1,4))="52151504","Tazas o vasos o tapas desechables para uso doméstico",""))</f>
        <v>Tazas o vasos o tapas desechables para uso doméstico</v>
      </c>
      <c r="C1142" s="35" t="str">
        <f>IFERROR(VLOOKUP("CAJ",'[1]Informacion '!P:Q,2,FALSE),"")</f>
        <v>Caja</v>
      </c>
      <c r="D1142" s="33">
        <v>14</v>
      </c>
      <c r="E1142" s="36">
        <v>1600</v>
      </c>
      <c r="F1142" s="37">
        <f t="shared" ca="1" si="28"/>
        <v>22400</v>
      </c>
    </row>
    <row r="1143" spans="1:6" ht="14.1" customHeight="1" x14ac:dyDescent="0.25">
      <c r="A1143" s="33" t="s">
        <v>238</v>
      </c>
      <c r="B1143" s="34" t="str">
        <f ca="1">IFERROR(INDEX(UNSPSCDes,MATCH(INDIRECT(ADDRESS(ROW(),COLUMN()-1,4)),UNSPSCCode,0)),IF(INDIRECT(ADDRESS(ROW(),COLUMN()-1,4))="47131618","Traperos húmedos",""))</f>
        <v>Traperos húmedos</v>
      </c>
      <c r="C1143" s="35" t="str">
        <f>IFERROR(VLOOKUP("UD",'[1]Informacion '!P:Q,2,FALSE),"")</f>
        <v>Unidad</v>
      </c>
      <c r="D1143" s="33">
        <v>20</v>
      </c>
      <c r="E1143" s="36">
        <v>260</v>
      </c>
      <c r="F1143" s="37">
        <f t="shared" ca="1" si="28"/>
        <v>5200</v>
      </c>
    </row>
    <row r="1144" spans="1:6" ht="14.1" customHeight="1" x14ac:dyDescent="0.25">
      <c r="A1144" s="33" t="s">
        <v>239</v>
      </c>
      <c r="B1144" s="34" t="str">
        <f ca="1">IFERROR(INDEX(UNSPSCDes,MATCH(INDIRECT(ADDRESS(ROW(),COLUMN()-1,4)),UNSPSCCode,0)),IF(INDIRECT(ADDRESS(ROW(),COLUMN()-1,4))="53131608","Jabones",""))</f>
        <v>Jabones</v>
      </c>
      <c r="C1144" s="35" t="str">
        <f>IFERROR(VLOOKUP("GAL",'[1]Informacion '!P:Q,2,FALSE),"")</f>
        <v>Galón</v>
      </c>
      <c r="D1144" s="33">
        <v>9</v>
      </c>
      <c r="E1144" s="36">
        <v>230</v>
      </c>
      <c r="F1144" s="37">
        <f t="shared" ca="1" si="28"/>
        <v>2070</v>
      </c>
    </row>
    <row r="1145" spans="1:6" ht="14.1" customHeight="1" x14ac:dyDescent="0.25">
      <c r="A1145" s="33" t="s">
        <v>239</v>
      </c>
      <c r="B1145" s="34" t="str">
        <f ca="1">IFERROR(INDEX(UNSPSCDes,MATCH(INDIRECT(ADDRESS(ROW(),COLUMN()-1,4)),UNSPSCCode,0)),IF(INDIRECT(ADDRESS(ROW(),COLUMN()-1,4))="53131608","Jabones",""))</f>
        <v>Jabones</v>
      </c>
      <c r="C1145" s="35" t="str">
        <f>IFERROR(VLOOKUP("UD",'[1]Informacion '!P:Q,2,FALSE),"")</f>
        <v>Unidad</v>
      </c>
      <c r="D1145" s="33">
        <v>12</v>
      </c>
      <c r="E1145" s="36">
        <v>600</v>
      </c>
      <c r="F1145" s="37">
        <f t="shared" ca="1" si="28"/>
        <v>7200</v>
      </c>
    </row>
    <row r="1146" spans="1:6" ht="14.1" customHeight="1" x14ac:dyDescent="0.25">
      <c r="A1146" s="33" t="s">
        <v>240</v>
      </c>
      <c r="B1146" s="34" t="str">
        <f ca="1">IFERROR(INDEX(UNSPSCDes,MATCH(INDIRECT(ADDRESS(ROW(),COLUMN()-1,4)),UNSPSCCode,0)),IF(INDIRECT(ADDRESS(ROW(),COLUMN()-1,4))="53131626","Desinfectante de manos",""))</f>
        <v>Desinfectante de manos</v>
      </c>
      <c r="C1146" s="35" t="str">
        <f>IFERROR(VLOOKUP("GAL",'[1]Informacion '!P:Q,2,FALSE),"")</f>
        <v>Galón</v>
      </c>
      <c r="D1146" s="33">
        <v>6</v>
      </c>
      <c r="E1146" s="36">
        <v>1400</v>
      </c>
      <c r="F1146" s="37">
        <f t="shared" ca="1" si="28"/>
        <v>8400</v>
      </c>
    </row>
    <row r="1147" spans="1:6" ht="14.1" customHeight="1" x14ac:dyDescent="0.25">
      <c r="A1147" s="33" t="s">
        <v>241</v>
      </c>
      <c r="B1147" s="34" t="str">
        <f ca="1">IFERROR(INDEX(UNSPSCDes,MATCH(INDIRECT(ADDRESS(ROW(),COLUMN()-1,4)),UNSPSCCode,0)),IF(INDIRECT(ADDRESS(ROW(),COLUMN()-1,4))="47131807","Blanqueadores",""))</f>
        <v>Blanqueadores</v>
      </c>
      <c r="C1147" s="35" t="str">
        <f>IFERROR(VLOOKUP("GAL",'[1]Informacion '!P:Q,2,FALSE),"")</f>
        <v>Galón</v>
      </c>
      <c r="D1147" s="33">
        <v>30</v>
      </c>
      <c r="E1147" s="36">
        <v>75</v>
      </c>
      <c r="F1147" s="37">
        <f t="shared" ca="1" si="28"/>
        <v>2250</v>
      </c>
    </row>
    <row r="1148" spans="1:6" ht="14.1" customHeight="1" x14ac:dyDescent="0.25">
      <c r="A1148" s="33" t="s">
        <v>242</v>
      </c>
      <c r="B1148" s="34" t="str">
        <f ca="1">IFERROR(INDEX(UNSPSCDes,MATCH(INDIRECT(ADDRESS(ROW(),COLUMN()-1,4)),UNSPSCCode,0)),IF(INDIRECT(ADDRESS(ROW(),COLUMN()-1,4))="47131608","Cepillos de baño",""))</f>
        <v>Cepillos de baño</v>
      </c>
      <c r="C1148" s="35" t="str">
        <f>IFERROR(VLOOKUP("GAL",'[1]Informacion '!P:Q,2,FALSE),"")</f>
        <v>Galón</v>
      </c>
      <c r="D1148" s="33">
        <v>5</v>
      </c>
      <c r="E1148" s="36">
        <v>150</v>
      </c>
      <c r="F1148" s="37">
        <f t="shared" ca="1" si="28"/>
        <v>750</v>
      </c>
    </row>
    <row r="1149" spans="1:6" ht="14.1" customHeight="1" x14ac:dyDescent="0.25">
      <c r="A1149" s="33" t="s">
        <v>243</v>
      </c>
      <c r="B1149" s="34" t="str">
        <f ca="1">IFERROR(INDEX(UNSPSCDes,MATCH(INDIRECT(ADDRESS(ROW(),COLUMN()-1,4)),UNSPSCCode,0)),IF(INDIRECT(ADDRESS(ROW(),COLUMN()-1,4))="14111701","Pañuelos faciales",""))</f>
        <v>Pañuelos faciales</v>
      </c>
      <c r="C1149" s="35" t="str">
        <f>IFERROR(VLOOKUP("CAJ",'[1]Informacion '!P:Q,2,FALSE),"")</f>
        <v>Caja</v>
      </c>
      <c r="D1149" s="33">
        <v>10</v>
      </c>
      <c r="E1149" s="36">
        <v>160</v>
      </c>
      <c r="F1149" s="37">
        <f t="shared" ca="1" si="28"/>
        <v>1600</v>
      </c>
    </row>
    <row r="1150" spans="1:6" ht="14.1" customHeight="1" x14ac:dyDescent="0.25">
      <c r="A1150" s="33" t="s">
        <v>244</v>
      </c>
      <c r="B1150" s="34" t="str">
        <f ca="1">IFERROR(INDEX(UNSPSCDes,MATCH(INDIRECT(ADDRESS(ROW(),COLUMN()-1,4)),UNSPSCCode,0)),IF(INDIRECT(ADDRESS(ROW(),COLUMN()-1,4))="12161902","Surfactantes detergentes",""))</f>
        <v>Surfactantes detergentes</v>
      </c>
      <c r="C1150" s="35" t="str">
        <f>IFERROR(VLOOKUP("PAQ",'[1]Informacion '!P:Q,2,FALSE),"")</f>
        <v>Paquete</v>
      </c>
      <c r="D1150" s="33">
        <v>60</v>
      </c>
      <c r="E1150" s="36">
        <v>95</v>
      </c>
      <c r="F1150" s="37">
        <f t="shared" ca="1" si="28"/>
        <v>5700</v>
      </c>
    </row>
    <row r="1151" spans="1:6" ht="14.1" customHeight="1" x14ac:dyDescent="0.25">
      <c r="A1151" s="33" t="s">
        <v>245</v>
      </c>
      <c r="B1151" s="34" t="str">
        <f ca="1">IFERROR(INDEX(UNSPSCDes,MATCH(INDIRECT(ADDRESS(ROW(),COLUMN()-1,4)),UNSPSCCode,0)),IF(INDIRECT(ADDRESS(ROW(),COLUMN()-1,4))="47131602","Almohadillas para restregar",""))</f>
        <v>Almohadillas para restregar</v>
      </c>
      <c r="C1151" s="35" t="str">
        <f>IFERROR(VLOOKUP("PAQ",'[1]Informacion '!P:Q,2,FALSE),"")</f>
        <v>Paquete</v>
      </c>
      <c r="D1151" s="33">
        <v>15</v>
      </c>
      <c r="E1151" s="36">
        <v>60</v>
      </c>
      <c r="F1151" s="37">
        <f t="shared" ca="1" si="28"/>
        <v>900</v>
      </c>
    </row>
    <row r="1152" spans="1:6" ht="14.1" customHeight="1" x14ac:dyDescent="0.25">
      <c r="A1152" s="33" t="s">
        <v>239</v>
      </c>
      <c r="B1152" s="34" t="str">
        <f ca="1">IFERROR(INDEX(UNSPSCDes,MATCH(INDIRECT(ADDRESS(ROW(),COLUMN()-1,4)),UNSPSCCode,0)),IF(INDIRECT(ADDRESS(ROW(),COLUMN()-1,4))="53131608","Jabones",""))</f>
        <v>Jabones</v>
      </c>
      <c r="C1152" s="35" t="str">
        <f>IFERROR(VLOOKUP("PAQ",'[1]Informacion '!P:Q,2,FALSE),"")</f>
        <v>Paquete</v>
      </c>
      <c r="D1152" s="33">
        <v>10</v>
      </c>
      <c r="E1152" s="36">
        <v>130</v>
      </c>
      <c r="F1152" s="37">
        <f t="shared" ca="1" si="28"/>
        <v>1300</v>
      </c>
    </row>
    <row r="1153" spans="1:10" ht="14.1" customHeight="1" x14ac:dyDescent="0.25">
      <c r="A1153" s="33" t="s">
        <v>228</v>
      </c>
      <c r="B1153" s="34" t="str">
        <f ca="1">IFERROR(INDEX(UNSPSCDes,MATCH(INDIRECT(ADDRESS(ROW(),COLUMN()-1,4)),UNSPSCCode,0)),IF(INDIRECT(ADDRESS(ROW(),COLUMN()-1,4))="47131812","Refrescador de aire",""))</f>
        <v>Refrescador de aire</v>
      </c>
      <c r="C1153" s="35" t="str">
        <f>IFERROR(VLOOKUP("UD",'[1]Informacion '!P:Q,2,FALSE),"")</f>
        <v>Unidad</v>
      </c>
      <c r="D1153" s="33">
        <v>10</v>
      </c>
      <c r="E1153" s="36">
        <v>237</v>
      </c>
      <c r="F1153" s="37">
        <f t="shared" ca="1" si="28"/>
        <v>2370</v>
      </c>
    </row>
    <row r="1154" spans="1:10" ht="14.1" customHeight="1" x14ac:dyDescent="0.25">
      <c r="A1154" s="33" t="s">
        <v>246</v>
      </c>
      <c r="B1154" s="34" t="str">
        <f ca="1">IFERROR(INDEX(UNSPSCDes,MATCH(INDIRECT(ADDRESS(ROW(),COLUMN()-1,4)),UNSPSCCode,0)),IF(INDIRECT(ADDRESS(ROW(),COLUMN()-1,4))="47131824","Limpiadores de vidrio o ventanas",""))</f>
        <v>Limpiadores de vidrio o ventanas</v>
      </c>
      <c r="C1154" s="35" t="str">
        <f>IFERROR(VLOOKUP("GAL",'[1]Informacion '!P:Q,2,FALSE),"")</f>
        <v>Galón</v>
      </c>
      <c r="D1154" s="33">
        <v>5</v>
      </c>
      <c r="E1154" s="36">
        <v>190</v>
      </c>
      <c r="F1154" s="37">
        <f t="shared" ca="1" si="28"/>
        <v>950</v>
      </c>
    </row>
    <row r="1155" spans="1:10" ht="14.1" customHeight="1" x14ac:dyDescent="0.25">
      <c r="E1155" s="38" t="s">
        <v>48</v>
      </c>
      <c r="F1155" s="39">
        <f ca="1">SUM(Table61[MONTO TOTAL ESTIMADO])</f>
        <v>316415</v>
      </c>
      <c r="H1155" s="25" t="str">
        <f>C1120</f>
        <v>Bienes</v>
      </c>
      <c r="I1155" s="25" t="str">
        <f>E1120</f>
        <v>MIPYME Mujeres</v>
      </c>
      <c r="J1155" s="25" t="str">
        <f>D1120</f>
        <v>Compras Menores</v>
      </c>
    </row>
    <row r="1156" spans="1:10" ht="14.1" customHeight="1" x14ac:dyDescent="0.25"/>
    <row r="1157" spans="1:10" ht="34.15" customHeight="1" thickBot="1" x14ac:dyDescent="0.3">
      <c r="A1157" s="24" t="s">
        <v>19</v>
      </c>
      <c r="B1157" s="24" t="s">
        <v>20</v>
      </c>
      <c r="C1157" s="24" t="s">
        <v>21</v>
      </c>
      <c r="D1157" s="24" t="s">
        <v>22</v>
      </c>
      <c r="E1157" s="24" t="s">
        <v>23</v>
      </c>
      <c r="F1157" s="24" t="s">
        <v>24</v>
      </c>
    </row>
    <row r="1158" spans="1:10" ht="14.1" customHeight="1" thickBot="1" x14ac:dyDescent="0.3">
      <c r="A1158" s="26" t="s">
        <v>224</v>
      </c>
      <c r="B1158" s="26" t="s">
        <v>224</v>
      </c>
      <c r="C1158" s="26" t="s">
        <v>27</v>
      </c>
      <c r="D1158" s="26" t="s">
        <v>28</v>
      </c>
      <c r="E1158" s="26" t="s">
        <v>225</v>
      </c>
      <c r="F1158" s="26"/>
    </row>
    <row r="1159" spans="1:10" ht="14.1" customHeight="1" thickBot="1" x14ac:dyDescent="0.3">
      <c r="A1159" s="43" t="s">
        <v>30</v>
      </c>
      <c r="B1159" s="27" t="s">
        <v>31</v>
      </c>
      <c r="C1159" s="28">
        <v>44835</v>
      </c>
      <c r="D1159" s="43" t="s">
        <v>32</v>
      </c>
      <c r="E1159" s="29" t="s">
        <v>33</v>
      </c>
      <c r="F1159" s="30" t="s">
        <v>34</v>
      </c>
    </row>
    <row r="1160" spans="1:10" ht="14.1" customHeight="1" thickBot="1" x14ac:dyDescent="0.3">
      <c r="A1160" s="44"/>
      <c r="B1160" s="27" t="s">
        <v>35</v>
      </c>
      <c r="C1160" s="31">
        <f>IF(C1159="","",IF(AND(MONTH(C1159)&gt;=1,MONTH(C1159)&lt;=3),1,IF(AND(MONTH(C1159)&gt;=4,MONTH(C1159)&lt;=6),2,IF(AND(MONTH(C1159)&gt;=7,MONTH(C1159)&lt;=9),3,4))))</f>
        <v>4</v>
      </c>
      <c r="D1160" s="44"/>
      <c r="E1160" s="29" t="s">
        <v>36</v>
      </c>
      <c r="F1160" s="30"/>
    </row>
    <row r="1161" spans="1:10" ht="14.1" customHeight="1" thickBot="1" x14ac:dyDescent="0.3">
      <c r="A1161" s="44"/>
      <c r="B1161" s="27" t="s">
        <v>37</v>
      </c>
      <c r="C1161" s="28">
        <v>44926</v>
      </c>
      <c r="D1161" s="44"/>
      <c r="E1161" s="29" t="s">
        <v>38</v>
      </c>
      <c r="F1161" s="30"/>
    </row>
    <row r="1162" spans="1:10" ht="14.1" customHeight="1" thickBot="1" x14ac:dyDescent="0.3">
      <c r="A1162" s="44"/>
      <c r="B1162" s="27" t="s">
        <v>35</v>
      </c>
      <c r="C1162" s="31">
        <f>IF(C1161="","",IF(AND(MONTH(C1161)&gt;=1,MONTH(C1161)&lt;=3),1,IF(AND(MONTH(C1161)&gt;=4,MONTH(C1161)&lt;=6),2,IF(AND(MONTH(C1161)&gt;=7,MONTH(C1161)&lt;=9),3,4))))</f>
        <v>4</v>
      </c>
      <c r="D1162" s="44"/>
      <c r="E1162" s="29" t="s">
        <v>39</v>
      </c>
      <c r="F1162" s="30"/>
    </row>
    <row r="1163" spans="1:10" ht="14.1" customHeight="1" x14ac:dyDescent="0.25"/>
    <row r="1164" spans="1:10" ht="14.1" customHeight="1" thickBot="1" x14ac:dyDescent="0.3">
      <c r="A1164" s="32" t="s">
        <v>40</v>
      </c>
      <c r="B1164" s="32" t="s">
        <v>41</v>
      </c>
      <c r="C1164" s="32" t="s">
        <v>42</v>
      </c>
      <c r="D1164" s="32" t="s">
        <v>43</v>
      </c>
      <c r="E1164" s="32" t="s">
        <v>44</v>
      </c>
      <c r="F1164" s="32" t="s">
        <v>45</v>
      </c>
    </row>
    <row r="1165" spans="1:10" ht="14.1" customHeight="1" x14ac:dyDescent="0.25">
      <c r="A1165" s="33" t="s">
        <v>226</v>
      </c>
      <c r="B1165" s="34" t="str">
        <f ca="1">IFERROR(INDEX(UNSPSCDes,MATCH(INDIRECT(ADDRESS(ROW(),COLUMN()-1,4)),UNSPSCCode,0)),IF(INDIRECT(ADDRESS(ROW(),COLUMN()-1,4))="47131604","Escobas",""))</f>
        <v>Escobas</v>
      </c>
      <c r="C1165" s="35" t="str">
        <f>IFERROR(VLOOKUP("UD",'[1]Informacion '!P:Q,2,FALSE),"")</f>
        <v>Unidad</v>
      </c>
      <c r="D1165" s="33">
        <v>10</v>
      </c>
      <c r="E1165" s="36">
        <v>150</v>
      </c>
      <c r="F1165" s="37">
        <f t="shared" ref="F1165:F1192" ca="1" si="29">INDIRECT(ADDRESS(ROW(),COLUMN()-2,4))*INDIRECT(ADDRESS(ROW(),COLUMN()-1,4))</f>
        <v>1500</v>
      </c>
    </row>
    <row r="1166" spans="1:10" ht="14.1" customHeight="1" x14ac:dyDescent="0.25">
      <c r="A1166" s="33" t="s">
        <v>227</v>
      </c>
      <c r="B1166" s="34" t="str">
        <f ca="1">IFERROR(INDEX(UNSPSCDes,MATCH(INDIRECT(ADDRESS(ROW(),COLUMN()-1,4)),UNSPSCCode,0)),IF(INDIRECT(ADDRESS(ROW(),COLUMN()-1,4))="47131801","Limpiadores de pisos",""))</f>
        <v>Limpiadores de pisos</v>
      </c>
      <c r="C1166" s="35" t="str">
        <f>IFERROR(VLOOKUP("UD",'[1]Informacion '!P:Q,2,FALSE),"")</f>
        <v>Unidad</v>
      </c>
      <c r="D1166" s="33">
        <v>30</v>
      </c>
      <c r="E1166" s="36">
        <v>250</v>
      </c>
      <c r="F1166" s="37">
        <f t="shared" ca="1" si="29"/>
        <v>7500</v>
      </c>
    </row>
    <row r="1167" spans="1:10" ht="14.1" customHeight="1" x14ac:dyDescent="0.25">
      <c r="A1167" s="33" t="s">
        <v>228</v>
      </c>
      <c r="B1167" s="34" t="str">
        <f ca="1">IFERROR(INDEX(UNSPSCDes,MATCH(INDIRECT(ADDRESS(ROW(),COLUMN()-1,4)),UNSPSCCode,0)),IF(INDIRECT(ADDRESS(ROW(),COLUMN()-1,4))="47131812","Refrescador de aire",""))</f>
        <v>Refrescador de aire</v>
      </c>
      <c r="C1167" s="35" t="str">
        <f>IFERROR(VLOOKUP("UD",'[1]Informacion '!P:Q,2,FALSE),"")</f>
        <v>Unidad</v>
      </c>
      <c r="D1167" s="33">
        <v>20</v>
      </c>
      <c r="E1167" s="36">
        <v>130</v>
      </c>
      <c r="F1167" s="37">
        <f t="shared" ca="1" si="29"/>
        <v>2600</v>
      </c>
    </row>
    <row r="1168" spans="1:10" ht="14.1" customHeight="1" x14ac:dyDescent="0.25">
      <c r="A1168" s="33" t="s">
        <v>229</v>
      </c>
      <c r="B1168" s="34" t="str">
        <f ca="1">IFERROR(INDEX(UNSPSCDes,MATCH(INDIRECT(ADDRESS(ROW(),COLUMN()-1,4)),UNSPSCCode,0)),IF(INDIRECT(ADDRESS(ROW(),COLUMN()-1,4))="47131603","Esponjas",""))</f>
        <v>Esponjas</v>
      </c>
      <c r="C1168" s="35" t="str">
        <f>IFERROR(VLOOKUP("UD",'[1]Informacion '!P:Q,2,FALSE),"")</f>
        <v>Unidad</v>
      </c>
      <c r="D1168" s="33">
        <v>50</v>
      </c>
      <c r="E1168" s="36">
        <v>85</v>
      </c>
      <c r="F1168" s="37">
        <f t="shared" ca="1" si="29"/>
        <v>4250</v>
      </c>
    </row>
    <row r="1169" spans="1:6" ht="14.1" customHeight="1" x14ac:dyDescent="0.25">
      <c r="A1169" s="33" t="s">
        <v>230</v>
      </c>
      <c r="B1169" s="34" t="str">
        <f ca="1">IFERROR(INDEX(UNSPSCDes,MATCH(INDIRECT(ADDRESS(ROW(),COLUMN()-1,4)),UNSPSCCode,0)),IF(INDIRECT(ADDRESS(ROW(),COLUMN()-1,4))="46181504","Guantes de protección",""))</f>
        <v>Guantes de protección</v>
      </c>
      <c r="C1169" s="35" t="str">
        <f>IFERROR(VLOOKUP("UD",'[1]Informacion '!P:Q,2,FALSE),"")</f>
        <v>Unidad</v>
      </c>
      <c r="D1169" s="33">
        <v>10</v>
      </c>
      <c r="E1169" s="36">
        <v>85</v>
      </c>
      <c r="F1169" s="37">
        <f t="shared" ca="1" si="29"/>
        <v>850</v>
      </c>
    </row>
    <row r="1170" spans="1:6" ht="14.1" customHeight="1" x14ac:dyDescent="0.25">
      <c r="A1170" s="33" t="s">
        <v>231</v>
      </c>
      <c r="B1170" s="34" t="str">
        <f ca="1">IFERROR(INDEX(UNSPSCDes,MATCH(INDIRECT(ADDRESS(ROW(),COLUMN()-1,4)),UNSPSCCode,0)),IF(INDIRECT(ADDRESS(ROW(),COLUMN()-1,4))="47131827","Limpiadores o removedores de manchas",""))</f>
        <v>Limpiadores o removedores de manchas</v>
      </c>
      <c r="C1170" s="35" t="str">
        <f>IFERROR(VLOOKUP("UD",'[1]Informacion '!P:Q,2,FALSE),"")</f>
        <v>Unidad</v>
      </c>
      <c r="D1170" s="33">
        <v>5</v>
      </c>
      <c r="E1170" s="36">
        <v>390</v>
      </c>
      <c r="F1170" s="37">
        <f t="shared" ca="1" si="29"/>
        <v>1950</v>
      </c>
    </row>
    <row r="1171" spans="1:6" ht="14.1" customHeight="1" x14ac:dyDescent="0.25">
      <c r="A1171" s="33" t="s">
        <v>232</v>
      </c>
      <c r="B1171" s="34" t="str">
        <f ca="1">IFERROR(INDEX(UNSPSCDes,MATCH(INDIRECT(ADDRESS(ROW(),COLUMN()-1,4)),UNSPSCCode,0)),IF(INDIRECT(ADDRESS(ROW(),COLUMN()-1,4))="14111703","Toallas de papel",""))</f>
        <v>Toallas de papel</v>
      </c>
      <c r="C1171" s="35" t="str">
        <f>IFERROR(VLOOKUP("UD",'[1]Informacion '!P:Q,2,FALSE),"")</f>
        <v>Unidad</v>
      </c>
      <c r="D1171" s="33">
        <v>300</v>
      </c>
      <c r="E1171" s="36">
        <v>400</v>
      </c>
      <c r="F1171" s="37">
        <f t="shared" ca="1" si="29"/>
        <v>120000</v>
      </c>
    </row>
    <row r="1172" spans="1:6" ht="14.1" customHeight="1" x14ac:dyDescent="0.25">
      <c r="A1172" s="33" t="s">
        <v>233</v>
      </c>
      <c r="B1172" s="34" t="str">
        <f ca="1">IFERROR(INDEX(UNSPSCDes,MATCH(INDIRECT(ADDRESS(ROW(),COLUMN()-1,4)),UNSPSCCode,0)),IF(INDIRECT(ADDRESS(ROW(),COLUMN()-1,4))="14111704","Papel higiénico",""))</f>
        <v>Papel higiénico</v>
      </c>
      <c r="C1172" s="35" t="str">
        <f>IFERROR(VLOOKUP("UD",'[1]Informacion '!P:Q,2,FALSE),"")</f>
        <v>Unidad</v>
      </c>
      <c r="D1172" s="33">
        <v>300</v>
      </c>
      <c r="E1172" s="36">
        <v>228</v>
      </c>
      <c r="F1172" s="37">
        <f t="shared" ca="1" si="29"/>
        <v>68400</v>
      </c>
    </row>
    <row r="1173" spans="1:6" ht="14.1" customHeight="1" x14ac:dyDescent="0.25">
      <c r="A1173" s="33" t="s">
        <v>234</v>
      </c>
      <c r="B1173" s="34" t="str">
        <f ca="1">IFERROR(INDEX(UNSPSCDes,MATCH(INDIRECT(ADDRESS(ROW(),COLUMN()-1,4)),UNSPSCCode,0)),IF(INDIRECT(ADDRESS(ROW(),COLUMN()-1,4))="14111705","Servilletas de papel",""))</f>
        <v>Servilletas de papel</v>
      </c>
      <c r="C1173" s="35" t="str">
        <f>IFERROR(VLOOKUP("UD",'[1]Informacion '!P:Q,2,FALSE),"")</f>
        <v>Unidad</v>
      </c>
      <c r="D1173" s="33">
        <v>120</v>
      </c>
      <c r="E1173" s="36">
        <v>100</v>
      </c>
      <c r="F1173" s="37">
        <f t="shared" ca="1" si="29"/>
        <v>12000</v>
      </c>
    </row>
    <row r="1174" spans="1:6" ht="14.1" customHeight="1" x14ac:dyDescent="0.25">
      <c r="A1174" s="33" t="s">
        <v>235</v>
      </c>
      <c r="B1174" s="34" t="str">
        <f ca="1">IFERROR(INDEX(UNSPSCDes,MATCH(INDIRECT(ADDRESS(ROW(),COLUMN()-1,4)),UNSPSCCode,0)),IF(INDIRECT(ADDRESS(ROW(),COLUMN()-1,4))="47121701","Bolsas de basura",""))</f>
        <v>Bolsas de basura</v>
      </c>
      <c r="C1174" s="35" t="str">
        <f>IFERROR(VLOOKUP("PAQ",'[1]Informacion '!P:Q,2,FALSE),"")</f>
        <v>Paquete</v>
      </c>
      <c r="D1174" s="33">
        <v>3</v>
      </c>
      <c r="E1174" s="36">
        <v>1300</v>
      </c>
      <c r="F1174" s="37">
        <f t="shared" ca="1" si="29"/>
        <v>3900</v>
      </c>
    </row>
    <row r="1175" spans="1:6" ht="14.1" customHeight="1" x14ac:dyDescent="0.25">
      <c r="A1175" s="33" t="s">
        <v>235</v>
      </c>
      <c r="B1175" s="34" t="str">
        <f ca="1">IFERROR(INDEX(UNSPSCDes,MATCH(INDIRECT(ADDRESS(ROW(),COLUMN()-1,4)),UNSPSCCode,0)),IF(INDIRECT(ADDRESS(ROW(),COLUMN()-1,4))="47121701","Bolsas de basura",""))</f>
        <v>Bolsas de basura</v>
      </c>
      <c r="C1175" s="35" t="str">
        <f>IFERROR(VLOOKUP("PAQ",'[1]Informacion '!P:Q,2,FALSE),"")</f>
        <v>Paquete</v>
      </c>
      <c r="D1175" s="33">
        <v>30</v>
      </c>
      <c r="E1175" s="36">
        <v>55</v>
      </c>
      <c r="F1175" s="37">
        <f t="shared" ca="1" si="29"/>
        <v>1650</v>
      </c>
    </row>
    <row r="1176" spans="1:6" ht="14.1" customHeight="1" x14ac:dyDescent="0.25">
      <c r="A1176" s="33" t="s">
        <v>235</v>
      </c>
      <c r="B1176" s="34" t="str">
        <f ca="1">IFERROR(INDEX(UNSPSCDes,MATCH(INDIRECT(ADDRESS(ROW(),COLUMN()-1,4)),UNSPSCCode,0)),IF(INDIRECT(ADDRESS(ROW(),COLUMN()-1,4))="47121701","Bolsas de basura",""))</f>
        <v>Bolsas de basura</v>
      </c>
      <c r="C1176" s="35" t="str">
        <f>IFERROR(VLOOKUP("PAQ",'[1]Informacion '!P:Q,2,FALSE),"")</f>
        <v>Paquete</v>
      </c>
      <c r="D1176" s="33">
        <v>30</v>
      </c>
      <c r="E1176" s="36">
        <v>50</v>
      </c>
      <c r="F1176" s="37">
        <f t="shared" ca="1" si="29"/>
        <v>1500</v>
      </c>
    </row>
    <row r="1177" spans="1:6" ht="14.1" customHeight="1" x14ac:dyDescent="0.25">
      <c r="A1177" s="33" t="s">
        <v>235</v>
      </c>
      <c r="B1177" s="34" t="str">
        <f ca="1">IFERROR(INDEX(UNSPSCDes,MATCH(INDIRECT(ADDRESS(ROW(),COLUMN()-1,4)),UNSPSCCode,0)),IF(INDIRECT(ADDRESS(ROW(),COLUMN()-1,4))="47121701","Bolsas de basura",""))</f>
        <v>Bolsas de basura</v>
      </c>
      <c r="C1177" s="35" t="str">
        <f>IFERROR(VLOOKUP("PAQ",'[1]Informacion '!P:Q,2,FALSE),"")</f>
        <v>Paquete</v>
      </c>
      <c r="D1177" s="33">
        <v>30</v>
      </c>
      <c r="E1177" s="36">
        <v>45</v>
      </c>
      <c r="F1177" s="37">
        <f t="shared" ca="1" si="29"/>
        <v>1350</v>
      </c>
    </row>
    <row r="1178" spans="1:6" ht="14.1" customHeight="1" x14ac:dyDescent="0.25">
      <c r="A1178" s="33" t="s">
        <v>236</v>
      </c>
      <c r="B1178" s="34" t="str">
        <f ca="1">IFERROR(INDEX(UNSPSCDes,MATCH(INDIRECT(ADDRESS(ROW(),COLUMN()-1,4)),UNSPSCCode,0)),IF(INDIRECT(ADDRESS(ROW(),COLUMN()-1,4))="47131502","Pañitos o toallas para limpiar",""))</f>
        <v>Pañitos o toallas para limpiar</v>
      </c>
      <c r="C1178" s="35" t="str">
        <f>IFERROR(VLOOKUP("UD",'[1]Informacion '!P:Q,2,FALSE),"")</f>
        <v>Unidad</v>
      </c>
      <c r="D1178" s="33">
        <v>15</v>
      </c>
      <c r="E1178" s="36">
        <v>85</v>
      </c>
      <c r="F1178" s="37">
        <f t="shared" ca="1" si="29"/>
        <v>1275</v>
      </c>
    </row>
    <row r="1179" spans="1:6" ht="14.1" customHeight="1" x14ac:dyDescent="0.25">
      <c r="A1179" s="33" t="s">
        <v>237</v>
      </c>
      <c r="B1179" s="34" t="str">
        <f ca="1">IFERROR(INDEX(UNSPSCDes,MATCH(INDIRECT(ADDRESS(ROW(),COLUMN()-1,4)),UNSPSCCode,0)),IF(INDIRECT(ADDRESS(ROW(),COLUMN()-1,4))="52151504","Tazas o vasos o tapas desechables para uso doméstico",""))</f>
        <v>Tazas o vasos o tapas desechables para uso doméstico</v>
      </c>
      <c r="C1179" s="35" t="str">
        <f>IFERROR(VLOOKUP("CAJ",'[1]Informacion '!P:Q,2,FALSE),"")</f>
        <v>Caja</v>
      </c>
      <c r="D1179" s="33">
        <v>14</v>
      </c>
      <c r="E1179" s="36">
        <v>1900</v>
      </c>
      <c r="F1179" s="37">
        <f t="shared" ca="1" si="29"/>
        <v>26600</v>
      </c>
    </row>
    <row r="1180" spans="1:6" ht="14.1" customHeight="1" x14ac:dyDescent="0.25">
      <c r="A1180" s="33" t="s">
        <v>237</v>
      </c>
      <c r="B1180" s="34" t="str">
        <f ca="1">IFERROR(INDEX(UNSPSCDes,MATCH(INDIRECT(ADDRESS(ROW(),COLUMN()-1,4)),UNSPSCCode,0)),IF(INDIRECT(ADDRESS(ROW(),COLUMN()-1,4))="52151504","Tazas o vasos o tapas desechables para uso doméstico",""))</f>
        <v>Tazas o vasos o tapas desechables para uso doméstico</v>
      </c>
      <c r="C1180" s="35" t="str">
        <f>IFERROR(VLOOKUP("CAJ",'[1]Informacion '!P:Q,2,FALSE),"")</f>
        <v>Caja</v>
      </c>
      <c r="D1180" s="33">
        <v>14</v>
      </c>
      <c r="E1180" s="36">
        <v>1600</v>
      </c>
      <c r="F1180" s="37">
        <f t="shared" ca="1" si="29"/>
        <v>22400</v>
      </c>
    </row>
    <row r="1181" spans="1:6" ht="14.1" customHeight="1" x14ac:dyDescent="0.25">
      <c r="A1181" s="33" t="s">
        <v>238</v>
      </c>
      <c r="B1181" s="34" t="str">
        <f ca="1">IFERROR(INDEX(UNSPSCDes,MATCH(INDIRECT(ADDRESS(ROW(),COLUMN()-1,4)),UNSPSCCode,0)),IF(INDIRECT(ADDRESS(ROW(),COLUMN()-1,4))="47131618","Traperos húmedos",""))</f>
        <v>Traperos húmedos</v>
      </c>
      <c r="C1181" s="35" t="str">
        <f>IFERROR(VLOOKUP("UD",'[1]Informacion '!P:Q,2,FALSE),"")</f>
        <v>Unidad</v>
      </c>
      <c r="D1181" s="33">
        <v>20</v>
      </c>
      <c r="E1181" s="36">
        <v>260</v>
      </c>
      <c r="F1181" s="37">
        <f t="shared" ca="1" si="29"/>
        <v>5200</v>
      </c>
    </row>
    <row r="1182" spans="1:6" ht="14.1" customHeight="1" x14ac:dyDescent="0.25">
      <c r="A1182" s="33" t="s">
        <v>239</v>
      </c>
      <c r="B1182" s="34" t="str">
        <f ca="1">IFERROR(INDEX(UNSPSCDes,MATCH(INDIRECT(ADDRESS(ROW(),COLUMN()-1,4)),UNSPSCCode,0)),IF(INDIRECT(ADDRESS(ROW(),COLUMN()-1,4))="53131608","Jabones",""))</f>
        <v>Jabones</v>
      </c>
      <c r="C1182" s="35" t="str">
        <f>IFERROR(VLOOKUP("GAL",'[1]Informacion '!P:Q,2,FALSE),"")</f>
        <v>Galón</v>
      </c>
      <c r="D1182" s="33">
        <v>9</v>
      </c>
      <c r="E1182" s="36">
        <v>230</v>
      </c>
      <c r="F1182" s="37">
        <f t="shared" ca="1" si="29"/>
        <v>2070</v>
      </c>
    </row>
    <row r="1183" spans="1:6" ht="14.1" customHeight="1" x14ac:dyDescent="0.25">
      <c r="A1183" s="33" t="s">
        <v>239</v>
      </c>
      <c r="B1183" s="34" t="str">
        <f ca="1">IFERROR(INDEX(UNSPSCDes,MATCH(INDIRECT(ADDRESS(ROW(),COLUMN()-1,4)),UNSPSCCode,0)),IF(INDIRECT(ADDRESS(ROW(),COLUMN()-1,4))="53131608","Jabones",""))</f>
        <v>Jabones</v>
      </c>
      <c r="C1183" s="35" t="str">
        <f>IFERROR(VLOOKUP("UD",'[1]Informacion '!P:Q,2,FALSE),"")</f>
        <v>Unidad</v>
      </c>
      <c r="D1183" s="33">
        <v>12</v>
      </c>
      <c r="E1183" s="36">
        <v>600</v>
      </c>
      <c r="F1183" s="37">
        <f t="shared" ca="1" si="29"/>
        <v>7200</v>
      </c>
    </row>
    <row r="1184" spans="1:6" ht="14.1" customHeight="1" x14ac:dyDescent="0.25">
      <c r="A1184" s="33" t="s">
        <v>240</v>
      </c>
      <c r="B1184" s="34" t="str">
        <f ca="1">IFERROR(INDEX(UNSPSCDes,MATCH(INDIRECT(ADDRESS(ROW(),COLUMN()-1,4)),UNSPSCCode,0)),IF(INDIRECT(ADDRESS(ROW(),COLUMN()-1,4))="53131626","Desinfectante de manos",""))</f>
        <v>Desinfectante de manos</v>
      </c>
      <c r="C1184" s="35" t="str">
        <f>IFERROR(VLOOKUP("GAL",'[1]Informacion '!P:Q,2,FALSE),"")</f>
        <v>Galón</v>
      </c>
      <c r="D1184" s="33">
        <v>6</v>
      </c>
      <c r="E1184" s="36">
        <v>1400</v>
      </c>
      <c r="F1184" s="37">
        <f t="shared" ca="1" si="29"/>
        <v>8400</v>
      </c>
    </row>
    <row r="1185" spans="1:10" ht="14.1" customHeight="1" x14ac:dyDescent="0.25">
      <c r="A1185" s="33" t="s">
        <v>241</v>
      </c>
      <c r="B1185" s="34" t="str">
        <f ca="1">IFERROR(INDEX(UNSPSCDes,MATCH(INDIRECT(ADDRESS(ROW(),COLUMN()-1,4)),UNSPSCCode,0)),IF(INDIRECT(ADDRESS(ROW(),COLUMN()-1,4))="47131807","Blanqueadores",""))</f>
        <v>Blanqueadores</v>
      </c>
      <c r="C1185" s="35" t="str">
        <f>IFERROR(VLOOKUP("GAL",'[1]Informacion '!P:Q,2,FALSE),"")</f>
        <v>Galón</v>
      </c>
      <c r="D1185" s="33">
        <v>30</v>
      </c>
      <c r="E1185" s="36">
        <v>75</v>
      </c>
      <c r="F1185" s="37">
        <f t="shared" ca="1" si="29"/>
        <v>2250</v>
      </c>
    </row>
    <row r="1186" spans="1:10" ht="14.1" customHeight="1" x14ac:dyDescent="0.25">
      <c r="A1186" s="33" t="s">
        <v>242</v>
      </c>
      <c r="B1186" s="34" t="str">
        <f ca="1">IFERROR(INDEX(UNSPSCDes,MATCH(INDIRECT(ADDRESS(ROW(),COLUMN()-1,4)),UNSPSCCode,0)),IF(INDIRECT(ADDRESS(ROW(),COLUMN()-1,4))="47131608","Cepillos de baño",""))</f>
        <v>Cepillos de baño</v>
      </c>
      <c r="C1186" s="35" t="str">
        <f>IFERROR(VLOOKUP("UD",'[1]Informacion '!P:Q,2,FALSE),"")</f>
        <v>Unidad</v>
      </c>
      <c r="D1186" s="33">
        <v>5</v>
      </c>
      <c r="E1186" s="36">
        <v>150</v>
      </c>
      <c r="F1186" s="37">
        <f t="shared" ca="1" si="29"/>
        <v>750</v>
      </c>
    </row>
    <row r="1187" spans="1:10" ht="14.1" customHeight="1" x14ac:dyDescent="0.25">
      <c r="A1187" s="33" t="s">
        <v>243</v>
      </c>
      <c r="B1187" s="34" t="str">
        <f ca="1">IFERROR(INDEX(UNSPSCDes,MATCH(INDIRECT(ADDRESS(ROW(),COLUMN()-1,4)),UNSPSCCode,0)),IF(INDIRECT(ADDRESS(ROW(),COLUMN()-1,4))="14111701","Pañuelos faciales",""))</f>
        <v>Pañuelos faciales</v>
      </c>
      <c r="C1187" s="35" t="str">
        <f>IFERROR(VLOOKUP("CAJ",'[1]Informacion '!P:Q,2,FALSE),"")</f>
        <v>Caja</v>
      </c>
      <c r="D1187" s="33">
        <v>10</v>
      </c>
      <c r="E1187" s="36">
        <v>160</v>
      </c>
      <c r="F1187" s="37">
        <f t="shared" ca="1" si="29"/>
        <v>1600</v>
      </c>
    </row>
    <row r="1188" spans="1:10" ht="14.1" customHeight="1" x14ac:dyDescent="0.25">
      <c r="A1188" s="33" t="s">
        <v>244</v>
      </c>
      <c r="B1188" s="34" t="str">
        <f ca="1">IFERROR(INDEX(UNSPSCDes,MATCH(INDIRECT(ADDRESS(ROW(),COLUMN()-1,4)),UNSPSCCode,0)),IF(INDIRECT(ADDRESS(ROW(),COLUMN()-1,4))="12161902","Surfactantes detergentes",""))</f>
        <v>Surfactantes detergentes</v>
      </c>
      <c r="C1188" s="35" t="str">
        <f>IFERROR(VLOOKUP("PAQ",'[1]Informacion '!P:Q,2,FALSE),"")</f>
        <v>Paquete</v>
      </c>
      <c r="D1188" s="33">
        <v>60</v>
      </c>
      <c r="E1188" s="36">
        <v>95</v>
      </c>
      <c r="F1188" s="37">
        <f t="shared" ca="1" si="29"/>
        <v>5700</v>
      </c>
    </row>
    <row r="1189" spans="1:10" ht="14.1" customHeight="1" x14ac:dyDescent="0.25">
      <c r="A1189" s="33" t="s">
        <v>245</v>
      </c>
      <c r="B1189" s="34" t="str">
        <f ca="1">IFERROR(INDEX(UNSPSCDes,MATCH(INDIRECT(ADDRESS(ROW(),COLUMN()-1,4)),UNSPSCCode,0)),IF(INDIRECT(ADDRESS(ROW(),COLUMN()-1,4))="47131602","Almohadillas para restregar",""))</f>
        <v>Almohadillas para restregar</v>
      </c>
      <c r="C1189" s="35" t="str">
        <f>IFERROR(VLOOKUP("UD",'[1]Informacion '!P:Q,2,FALSE),"")</f>
        <v>Unidad</v>
      </c>
      <c r="D1189" s="33">
        <v>15</v>
      </c>
      <c r="E1189" s="36">
        <v>60</v>
      </c>
      <c r="F1189" s="37">
        <f t="shared" ca="1" si="29"/>
        <v>900</v>
      </c>
    </row>
    <row r="1190" spans="1:10" ht="14.1" customHeight="1" x14ac:dyDescent="0.25">
      <c r="A1190" s="33" t="s">
        <v>239</v>
      </c>
      <c r="B1190" s="34" t="str">
        <f ca="1">IFERROR(INDEX(UNSPSCDes,MATCH(INDIRECT(ADDRESS(ROW(),COLUMN()-1,4)),UNSPSCCode,0)),IF(INDIRECT(ADDRESS(ROW(),COLUMN()-1,4))="53131608","Jabones",""))</f>
        <v>Jabones</v>
      </c>
      <c r="C1190" s="35" t="str">
        <f>IFERROR(VLOOKUP("PAQ",'[1]Informacion '!P:Q,2,FALSE),"")</f>
        <v>Paquete</v>
      </c>
      <c r="D1190" s="33">
        <v>10</v>
      </c>
      <c r="E1190" s="36">
        <v>130</v>
      </c>
      <c r="F1190" s="37">
        <f t="shared" ca="1" si="29"/>
        <v>1300</v>
      </c>
    </row>
    <row r="1191" spans="1:10" ht="14.1" customHeight="1" x14ac:dyDescent="0.25">
      <c r="A1191" s="33" t="s">
        <v>228</v>
      </c>
      <c r="B1191" s="34" t="str">
        <f ca="1">IFERROR(INDEX(UNSPSCDes,MATCH(INDIRECT(ADDRESS(ROW(),COLUMN()-1,4)),UNSPSCCode,0)),IF(INDIRECT(ADDRESS(ROW(),COLUMN()-1,4))="47131812","Refrescador de aire",""))</f>
        <v>Refrescador de aire</v>
      </c>
      <c r="C1191" s="35" t="str">
        <f>IFERROR(VLOOKUP("UD",'[1]Informacion '!P:Q,2,FALSE),"")</f>
        <v>Unidad</v>
      </c>
      <c r="D1191" s="33">
        <v>10</v>
      </c>
      <c r="E1191" s="36">
        <v>237</v>
      </c>
      <c r="F1191" s="37">
        <f t="shared" ca="1" si="29"/>
        <v>2370</v>
      </c>
    </row>
    <row r="1192" spans="1:10" ht="14.1" customHeight="1" x14ac:dyDescent="0.25">
      <c r="A1192" s="33" t="s">
        <v>246</v>
      </c>
      <c r="B1192" s="34" t="str">
        <f ca="1">IFERROR(INDEX(UNSPSCDes,MATCH(INDIRECT(ADDRESS(ROW(),COLUMN()-1,4)),UNSPSCCode,0)),IF(INDIRECT(ADDRESS(ROW(),COLUMN()-1,4))="47131824","Limpiadores de vidrio o ventanas",""))</f>
        <v>Limpiadores de vidrio o ventanas</v>
      </c>
      <c r="C1192" s="35" t="str">
        <f>IFERROR(VLOOKUP("GAL",'[1]Informacion '!P:Q,2,FALSE),"")</f>
        <v>Galón</v>
      </c>
      <c r="D1192" s="33">
        <v>5</v>
      </c>
      <c r="E1192" s="36">
        <v>190</v>
      </c>
      <c r="F1192" s="37">
        <f t="shared" ca="1" si="29"/>
        <v>950</v>
      </c>
    </row>
    <row r="1193" spans="1:10" ht="14.1" customHeight="1" x14ac:dyDescent="0.25">
      <c r="E1193" s="38" t="s">
        <v>48</v>
      </c>
      <c r="F1193" s="39">
        <f ca="1">SUM(Table62[MONTO TOTAL ESTIMADO])</f>
        <v>316415</v>
      </c>
      <c r="H1193" s="25" t="str">
        <f>C1158</f>
        <v>Bienes</v>
      </c>
      <c r="I1193" s="25" t="str">
        <f>E1158</f>
        <v>MIPYME Mujeres</v>
      </c>
      <c r="J1193" s="25" t="str">
        <f>D1158</f>
        <v>Compras Menores</v>
      </c>
    </row>
    <row r="1194" spans="1:10" ht="14.1" customHeight="1" x14ac:dyDescent="0.25"/>
    <row r="1195" spans="1:10" ht="34.15" customHeight="1" thickBot="1" x14ac:dyDescent="0.3">
      <c r="A1195" s="24" t="s">
        <v>19</v>
      </c>
      <c r="B1195" s="24" t="s">
        <v>20</v>
      </c>
      <c r="C1195" s="24" t="s">
        <v>21</v>
      </c>
      <c r="D1195" s="24" t="s">
        <v>22</v>
      </c>
      <c r="E1195" s="24" t="s">
        <v>23</v>
      </c>
      <c r="F1195" s="24" t="s">
        <v>24</v>
      </c>
    </row>
    <row r="1196" spans="1:10" ht="14.1" customHeight="1" thickBot="1" x14ac:dyDescent="0.3">
      <c r="A1196" s="26" t="s">
        <v>247</v>
      </c>
      <c r="B1196" s="26" t="s">
        <v>247</v>
      </c>
      <c r="C1196" s="26" t="s">
        <v>27</v>
      </c>
      <c r="D1196" s="26" t="s">
        <v>28</v>
      </c>
      <c r="E1196" s="26" t="s">
        <v>54</v>
      </c>
      <c r="F1196" s="26"/>
    </row>
    <row r="1197" spans="1:10" ht="14.1" customHeight="1" thickBot="1" x14ac:dyDescent="0.3">
      <c r="A1197" s="43" t="s">
        <v>30</v>
      </c>
      <c r="B1197" s="27" t="s">
        <v>31</v>
      </c>
      <c r="C1197" s="28">
        <v>44576</v>
      </c>
      <c r="D1197" s="43" t="s">
        <v>32</v>
      </c>
      <c r="E1197" s="29" t="s">
        <v>33</v>
      </c>
      <c r="F1197" s="30" t="s">
        <v>34</v>
      </c>
    </row>
    <row r="1198" spans="1:10" ht="14.1" customHeight="1" thickBot="1" x14ac:dyDescent="0.3">
      <c r="A1198" s="44"/>
      <c r="B1198" s="27" t="s">
        <v>35</v>
      </c>
      <c r="C1198" s="31">
        <f>IF(C1197="","",IF(AND(MONTH(C1197)&gt;=1,MONTH(C1197)&lt;=3),1,IF(AND(MONTH(C1197)&gt;=4,MONTH(C1197)&lt;=6),2,IF(AND(MONTH(C1197)&gt;=7,MONTH(C1197)&lt;=9),3,4))))</f>
        <v>1</v>
      </c>
      <c r="D1198" s="44"/>
      <c r="E1198" s="29" t="s">
        <v>36</v>
      </c>
      <c r="F1198" s="30"/>
    </row>
    <row r="1199" spans="1:10" ht="14.1" customHeight="1" thickBot="1" x14ac:dyDescent="0.3">
      <c r="A1199" s="44"/>
      <c r="B1199" s="27" t="s">
        <v>37</v>
      </c>
      <c r="C1199" s="28">
        <v>44651</v>
      </c>
      <c r="D1199" s="44"/>
      <c r="E1199" s="29" t="s">
        <v>38</v>
      </c>
      <c r="F1199" s="30"/>
    </row>
    <row r="1200" spans="1:10" ht="14.1" customHeight="1" thickBot="1" x14ac:dyDescent="0.3">
      <c r="A1200" s="44"/>
      <c r="B1200" s="27" t="s">
        <v>35</v>
      </c>
      <c r="C1200" s="31">
        <f>IF(C1199="","",IF(AND(MONTH(C1199)&gt;=1,MONTH(C1199)&lt;=3),1,IF(AND(MONTH(C1199)&gt;=4,MONTH(C1199)&lt;=6),2,IF(AND(MONTH(C1199)&gt;=7,MONTH(C1199)&lt;=9),3,4))))</f>
        <v>1</v>
      </c>
      <c r="D1200" s="44"/>
      <c r="E1200" s="29" t="s">
        <v>39</v>
      </c>
      <c r="F1200" s="30"/>
    </row>
    <row r="1201" spans="1:10" ht="14.1" customHeight="1" x14ac:dyDescent="0.25"/>
    <row r="1202" spans="1:10" ht="14.1" customHeight="1" thickBot="1" x14ac:dyDescent="0.3">
      <c r="A1202" s="32" t="s">
        <v>40</v>
      </c>
      <c r="B1202" s="32" t="s">
        <v>41</v>
      </c>
      <c r="C1202" s="32" t="s">
        <v>42</v>
      </c>
      <c r="D1202" s="32" t="s">
        <v>43</v>
      </c>
      <c r="E1202" s="32" t="s">
        <v>44</v>
      </c>
      <c r="F1202" s="32" t="s">
        <v>45</v>
      </c>
    </row>
    <row r="1203" spans="1:10" ht="14.1" customHeight="1" x14ac:dyDescent="0.25">
      <c r="A1203" s="33" t="s">
        <v>248</v>
      </c>
      <c r="B1203" s="34" t="str">
        <f ca="1">IFERROR(INDEX(UNSPSCDes,MATCH(INDIRECT(ADDRESS(ROW(),COLUMN()-1,4)),UNSPSCCode,0)),IF(INDIRECT(ADDRESS(ROW(),COLUMN()-1,4))="50202310","Agua mineral",""))</f>
        <v>Agua mineral</v>
      </c>
      <c r="C1203" s="35" t="str">
        <f>IFERROR(VLOOKUP("PAQ",'[1]Informacion '!P:Q,2,FALSE),"")</f>
        <v>Paquete</v>
      </c>
      <c r="D1203" s="33">
        <v>25</v>
      </c>
      <c r="E1203" s="36">
        <v>250</v>
      </c>
      <c r="F1203" s="37">
        <f t="shared" ref="F1203:F1213" ca="1" si="30">INDIRECT(ADDRESS(ROW(),COLUMN()-2,4))*INDIRECT(ADDRESS(ROW(),COLUMN()-1,4))</f>
        <v>6250</v>
      </c>
    </row>
    <row r="1204" spans="1:10" ht="14.1" customHeight="1" x14ac:dyDescent="0.25">
      <c r="A1204" s="33" t="s">
        <v>249</v>
      </c>
      <c r="B1204" s="34" t="str">
        <f ca="1">IFERROR(INDEX(UNSPSCDes,MATCH(INDIRECT(ADDRESS(ROW(),COLUMN()-1,4)),UNSPSCCode,0)),IF(INDIRECT(ADDRESS(ROW(),COLUMN()-1,4))="50161509","Azucares naturales o productos endulzantes",""))</f>
        <v>Azucares naturales o productos endulzantes</v>
      </c>
      <c r="C1204" s="35" t="str">
        <f>IFERROR(VLOOKUP("PAQ",'[1]Informacion '!P:Q,2,FALSE),"")</f>
        <v>Paquete</v>
      </c>
      <c r="D1204" s="33">
        <v>100</v>
      </c>
      <c r="E1204" s="36">
        <v>200</v>
      </c>
      <c r="F1204" s="37">
        <f t="shared" ca="1" si="30"/>
        <v>20000</v>
      </c>
    </row>
    <row r="1205" spans="1:10" ht="14.1" customHeight="1" x14ac:dyDescent="0.25">
      <c r="A1205" s="33" t="s">
        <v>249</v>
      </c>
      <c r="B1205" s="34" t="str">
        <f ca="1">IFERROR(INDEX(UNSPSCDes,MATCH(INDIRECT(ADDRESS(ROW(),COLUMN()-1,4)),UNSPSCCode,0)),IF(INDIRECT(ADDRESS(ROW(),COLUMN()-1,4))="50161509","Azucares naturales o productos endulzantes",""))</f>
        <v>Azucares naturales o productos endulzantes</v>
      </c>
      <c r="C1205" s="35" t="str">
        <f>IFERROR(VLOOKUP("PAQ",'[1]Informacion '!P:Q,2,FALSE),"")</f>
        <v>Paquete</v>
      </c>
      <c r="D1205" s="33">
        <v>75</v>
      </c>
      <c r="E1205" s="36">
        <v>200</v>
      </c>
      <c r="F1205" s="37">
        <f t="shared" ca="1" si="30"/>
        <v>15000</v>
      </c>
    </row>
    <row r="1206" spans="1:10" ht="14.1" customHeight="1" x14ac:dyDescent="0.25">
      <c r="A1206" s="33" t="s">
        <v>249</v>
      </c>
      <c r="B1206" s="34" t="str">
        <f ca="1">IFERROR(INDEX(UNSPSCDes,MATCH(INDIRECT(ADDRESS(ROW(),COLUMN()-1,4)),UNSPSCCode,0)),IF(INDIRECT(ADDRESS(ROW(),COLUMN()-1,4))="50161509","Azucares naturales o productos endulzantes",""))</f>
        <v>Azucares naturales o productos endulzantes</v>
      </c>
      <c r="C1206" s="35" t="str">
        <f>IFERROR(VLOOKUP("CAJ",'[1]Informacion '!P:Q,2,FALSE),"")</f>
        <v>Caja</v>
      </c>
      <c r="D1206" s="33">
        <v>5</v>
      </c>
      <c r="E1206" s="36">
        <v>1600</v>
      </c>
      <c r="F1206" s="37">
        <f t="shared" ca="1" si="30"/>
        <v>8000</v>
      </c>
    </row>
    <row r="1207" spans="1:10" ht="14.1" customHeight="1" x14ac:dyDescent="0.25">
      <c r="A1207" s="33" t="s">
        <v>250</v>
      </c>
      <c r="B1207" s="34" t="str">
        <f ca="1">IFERROR(INDEX(UNSPSCDes,MATCH(INDIRECT(ADDRESS(ROW(),COLUMN()-1,4)),UNSPSCCode,0)),IF(INDIRECT(ADDRESS(ROW(),COLUMN()-1,4))="50201711","Té instantáneo",""))</f>
        <v>Té instantáneo</v>
      </c>
      <c r="C1207" s="35" t="str">
        <f>IFERROR(VLOOKUP("CAJ",'[1]Informacion '!P:Q,2,FALSE),"")</f>
        <v>Caja</v>
      </c>
      <c r="D1207" s="33">
        <v>10</v>
      </c>
      <c r="E1207" s="36">
        <v>200</v>
      </c>
      <c r="F1207" s="37">
        <f t="shared" ca="1" si="30"/>
        <v>2000</v>
      </c>
    </row>
    <row r="1208" spans="1:10" ht="14.1" customHeight="1" x14ac:dyDescent="0.25">
      <c r="A1208" s="33" t="s">
        <v>251</v>
      </c>
      <c r="B1208" s="34" t="str">
        <f ca="1">IFERROR(INDEX(UNSPSCDes,MATCH(INDIRECT(ADDRESS(ROW(),COLUMN()-1,4)),UNSPSCCode,0)),IF(INDIRECT(ADDRESS(ROW(),COLUMN()-1,4))="50201714","Cremas no lácteas",""))</f>
        <v>Cremas no lácteas</v>
      </c>
      <c r="C1208" s="35" t="str">
        <f>IFERROR(VLOOKUP("UD",'[1]Informacion '!P:Q,2,FALSE),"")</f>
        <v>Unidad</v>
      </c>
      <c r="D1208" s="33">
        <v>5</v>
      </c>
      <c r="E1208" s="36">
        <v>400</v>
      </c>
      <c r="F1208" s="37">
        <f t="shared" ca="1" si="30"/>
        <v>2000</v>
      </c>
    </row>
    <row r="1209" spans="1:10" ht="14.1" customHeight="1" x14ac:dyDescent="0.25">
      <c r="A1209" s="33" t="s">
        <v>252</v>
      </c>
      <c r="B1209" s="34" t="str">
        <f ca="1">IFERROR(INDEX(UNSPSCDes,MATCH(INDIRECT(ADDRESS(ROW(),COLUMN()-1,4)),UNSPSCCode,0)),IF(INDIRECT(ADDRESS(ROW(),COLUMN()-1,4))="50201706","Café",""))</f>
        <v>Café</v>
      </c>
      <c r="C1209" s="35" t="str">
        <f>IFERROR(VLOOKUP("PAQ",'[1]Informacion '!P:Q,2,FALSE),"")</f>
        <v>Paquete</v>
      </c>
      <c r="D1209" s="33">
        <v>200</v>
      </c>
      <c r="E1209" s="36">
        <v>225</v>
      </c>
      <c r="F1209" s="37">
        <f t="shared" ca="1" si="30"/>
        <v>45000</v>
      </c>
    </row>
    <row r="1210" spans="1:10" ht="14.1" customHeight="1" x14ac:dyDescent="0.25">
      <c r="A1210" s="33" t="s">
        <v>253</v>
      </c>
      <c r="B1210" s="34" t="str">
        <f ca="1">IFERROR(INDEX(UNSPSCDes,MATCH(INDIRECT(ADDRESS(ROW(),COLUMN()-1,4)),UNSPSCCode,0)),IF(INDIRECT(ADDRESS(ROW(),COLUMN()-1,4))="50151513","Aceites vegetales o  de planta comestibles",""))</f>
        <v>Aceites vegetales o  de planta comestibles</v>
      </c>
      <c r="C1210" s="35" t="str">
        <f>IFERROR(VLOOKUP("GAL",'[1]Informacion '!P:Q,2,FALSE),"")</f>
        <v>Galón</v>
      </c>
      <c r="D1210" s="33">
        <v>6</v>
      </c>
      <c r="E1210" s="36">
        <v>1500</v>
      </c>
      <c r="F1210" s="37">
        <f t="shared" ca="1" si="30"/>
        <v>9000</v>
      </c>
    </row>
    <row r="1211" spans="1:10" ht="14.1" customHeight="1" x14ac:dyDescent="0.25">
      <c r="A1211" s="33" t="s">
        <v>254</v>
      </c>
      <c r="B1211" s="34" t="str">
        <f ca="1">IFERROR(INDEX(UNSPSCDes,MATCH(INDIRECT(ADDRESS(ROW(),COLUMN()-1,4)),UNSPSCCode,0)),IF(INDIRECT(ADDRESS(ROW(),COLUMN()-1,4))="50171707","Vinagres",""))</f>
        <v>Vinagres</v>
      </c>
      <c r="C1211" s="35" t="str">
        <f>IFERROR(VLOOKUP("GAL",'[1]Informacion '!P:Q,2,FALSE),"")</f>
        <v>Galón</v>
      </c>
      <c r="D1211" s="33">
        <v>4</v>
      </c>
      <c r="E1211" s="36">
        <v>400</v>
      </c>
      <c r="F1211" s="37">
        <f t="shared" ca="1" si="30"/>
        <v>1600</v>
      </c>
    </row>
    <row r="1212" spans="1:10" ht="14.1" customHeight="1" x14ac:dyDescent="0.25">
      <c r="A1212" s="33" t="s">
        <v>255</v>
      </c>
      <c r="B1212" s="34" t="str">
        <f ca="1">IFERROR(INDEX(UNSPSCDes,MATCH(INDIRECT(ADDRESS(ROW(),COLUMN()-1,4)),UNSPSCCode,0)),IF(INDIRECT(ADDRESS(ROW(),COLUMN()-1,4))="50171551","Sal de mesa",""))</f>
        <v>Sal de mesa</v>
      </c>
      <c r="C1212" s="35" t="str">
        <f>IFERROR(VLOOKUP("GAL",'[1]Informacion '!P:Q,2,FALSE),"")</f>
        <v>Galón</v>
      </c>
      <c r="D1212" s="33">
        <v>3</v>
      </c>
      <c r="E1212" s="36">
        <v>250</v>
      </c>
      <c r="F1212" s="37">
        <f t="shared" ca="1" si="30"/>
        <v>750</v>
      </c>
    </row>
    <row r="1213" spans="1:10" ht="14.1" customHeight="1" x14ac:dyDescent="0.25">
      <c r="A1213" s="33" t="s">
        <v>256</v>
      </c>
      <c r="B1213" s="34" t="str">
        <f ca="1">IFERROR(INDEX(UNSPSCDes,MATCH(INDIRECT(ADDRESS(ROW(),COLUMN()-1,4)),UNSPSCCode,0)),IF(INDIRECT(ADDRESS(ROW(),COLUMN()-1,4))="90101603","Servicios de cáterin",""))</f>
        <v>Servicios de cáterin</v>
      </c>
      <c r="C1213" s="35" t="str">
        <f>IFERROR(VLOOKUP("UD",'[1]Informacion '!P:Q,2,FALSE),"")</f>
        <v>Unidad</v>
      </c>
      <c r="D1213" s="33">
        <v>1</v>
      </c>
      <c r="E1213" s="36">
        <v>135000</v>
      </c>
      <c r="F1213" s="37">
        <f t="shared" ca="1" si="30"/>
        <v>135000</v>
      </c>
    </row>
    <row r="1214" spans="1:10" ht="14.1" customHeight="1" x14ac:dyDescent="0.25">
      <c r="E1214" s="38" t="s">
        <v>48</v>
      </c>
      <c r="F1214" s="39">
        <f ca="1">SUM(Table63[MONTO TOTAL ESTIMADO])</f>
        <v>244600</v>
      </c>
      <c r="H1214" s="25" t="str">
        <f>C1196</f>
        <v>Bienes</v>
      </c>
      <c r="I1214" s="25" t="str">
        <f>E1196</f>
        <v>Sí</v>
      </c>
      <c r="J1214" s="25" t="str">
        <f>D1196</f>
        <v>Compras Menores</v>
      </c>
    </row>
    <row r="1215" spans="1:10" ht="14.1" customHeight="1" x14ac:dyDescent="0.25"/>
    <row r="1216" spans="1:10" ht="34.15" customHeight="1" thickBot="1" x14ac:dyDescent="0.3">
      <c r="A1216" s="24" t="s">
        <v>19</v>
      </c>
      <c r="B1216" s="24" t="s">
        <v>20</v>
      </c>
      <c r="C1216" s="24" t="s">
        <v>21</v>
      </c>
      <c r="D1216" s="24" t="s">
        <v>22</v>
      </c>
      <c r="E1216" s="24" t="s">
        <v>23</v>
      </c>
      <c r="F1216" s="24" t="s">
        <v>24</v>
      </c>
    </row>
    <row r="1217" spans="1:6" ht="14.1" customHeight="1" thickBot="1" x14ac:dyDescent="0.3">
      <c r="A1217" s="26" t="s">
        <v>247</v>
      </c>
      <c r="B1217" s="26" t="s">
        <v>247</v>
      </c>
      <c r="C1217" s="26" t="s">
        <v>27</v>
      </c>
      <c r="D1217" s="26" t="s">
        <v>28</v>
      </c>
      <c r="E1217" s="26" t="s">
        <v>54</v>
      </c>
      <c r="F1217" s="26"/>
    </row>
    <row r="1218" spans="1:6" ht="14.1" customHeight="1" thickBot="1" x14ac:dyDescent="0.3">
      <c r="A1218" s="43" t="s">
        <v>30</v>
      </c>
      <c r="B1218" s="27" t="s">
        <v>31</v>
      </c>
      <c r="C1218" s="28">
        <v>44743</v>
      </c>
      <c r="D1218" s="43" t="s">
        <v>32</v>
      </c>
      <c r="E1218" s="29" t="s">
        <v>33</v>
      </c>
      <c r="F1218" s="30" t="s">
        <v>34</v>
      </c>
    </row>
    <row r="1219" spans="1:6" ht="14.1" customHeight="1" thickBot="1" x14ac:dyDescent="0.3">
      <c r="A1219" s="44"/>
      <c r="B1219" s="27" t="s">
        <v>35</v>
      </c>
      <c r="C1219" s="31">
        <f>IF(C1218="","",IF(AND(MONTH(C1218)&gt;=1,MONTH(C1218)&lt;=3),1,IF(AND(MONTH(C1218)&gt;=4,MONTH(C1218)&lt;=6),2,IF(AND(MONTH(C1218)&gt;=7,MONTH(C1218)&lt;=9),3,4))))</f>
        <v>3</v>
      </c>
      <c r="D1219" s="44"/>
      <c r="E1219" s="29" t="s">
        <v>36</v>
      </c>
      <c r="F1219" s="30"/>
    </row>
    <row r="1220" spans="1:6" ht="14.1" customHeight="1" thickBot="1" x14ac:dyDescent="0.3">
      <c r="A1220" s="44"/>
      <c r="B1220" s="27" t="s">
        <v>37</v>
      </c>
      <c r="C1220" s="28">
        <v>44834</v>
      </c>
      <c r="D1220" s="44"/>
      <c r="E1220" s="29" t="s">
        <v>38</v>
      </c>
      <c r="F1220" s="30"/>
    </row>
    <row r="1221" spans="1:6" ht="14.1" customHeight="1" thickBot="1" x14ac:dyDescent="0.3">
      <c r="A1221" s="44"/>
      <c r="B1221" s="27" t="s">
        <v>35</v>
      </c>
      <c r="C1221" s="31">
        <f>IF(C1220="","",IF(AND(MONTH(C1220)&gt;=1,MONTH(C1220)&lt;=3),1,IF(AND(MONTH(C1220)&gt;=4,MONTH(C1220)&lt;=6),2,IF(AND(MONTH(C1220)&gt;=7,MONTH(C1220)&lt;=9),3,4))))</f>
        <v>3</v>
      </c>
      <c r="D1221" s="44"/>
      <c r="E1221" s="29" t="s">
        <v>39</v>
      </c>
      <c r="F1221" s="30"/>
    </row>
    <row r="1222" spans="1:6" ht="14.1" customHeight="1" x14ac:dyDescent="0.25"/>
    <row r="1223" spans="1:6" ht="14.1" customHeight="1" thickBot="1" x14ac:dyDescent="0.3">
      <c r="A1223" s="32" t="s">
        <v>40</v>
      </c>
      <c r="B1223" s="32" t="s">
        <v>41</v>
      </c>
      <c r="C1223" s="32" t="s">
        <v>42</v>
      </c>
      <c r="D1223" s="32" t="s">
        <v>43</v>
      </c>
      <c r="E1223" s="32" t="s">
        <v>44</v>
      </c>
      <c r="F1223" s="32" t="s">
        <v>45</v>
      </c>
    </row>
    <row r="1224" spans="1:6" ht="14.1" customHeight="1" x14ac:dyDescent="0.25">
      <c r="A1224" s="33" t="s">
        <v>248</v>
      </c>
      <c r="B1224" s="34" t="str">
        <f ca="1">IFERROR(INDEX(UNSPSCDes,MATCH(INDIRECT(ADDRESS(ROW(),COLUMN()-1,4)),UNSPSCCode,0)),IF(INDIRECT(ADDRESS(ROW(),COLUMN()-1,4))="50202310","Agua mineral",""))</f>
        <v>Agua mineral</v>
      </c>
      <c r="C1224" s="35" t="str">
        <f>IFERROR(VLOOKUP("PAQ",'[1]Informacion '!P:Q,2,FALSE),"")</f>
        <v>Paquete</v>
      </c>
      <c r="D1224" s="33">
        <v>25</v>
      </c>
      <c r="E1224" s="36">
        <v>250</v>
      </c>
      <c r="F1224" s="37">
        <f t="shared" ref="F1224:F1234" ca="1" si="31">INDIRECT(ADDRESS(ROW(),COLUMN()-2,4))*INDIRECT(ADDRESS(ROW(),COLUMN()-1,4))</f>
        <v>6250</v>
      </c>
    </row>
    <row r="1225" spans="1:6" ht="14.1" customHeight="1" x14ac:dyDescent="0.25">
      <c r="A1225" s="33" t="s">
        <v>249</v>
      </c>
      <c r="B1225" s="34" t="str">
        <f ca="1">IFERROR(INDEX(UNSPSCDes,MATCH(INDIRECT(ADDRESS(ROW(),COLUMN()-1,4)),UNSPSCCode,0)),IF(INDIRECT(ADDRESS(ROW(),COLUMN()-1,4))="50161509","Azucares naturales o productos endulzantes",""))</f>
        <v>Azucares naturales o productos endulzantes</v>
      </c>
      <c r="C1225" s="35" t="str">
        <f>IFERROR(VLOOKUP("PAQ",'[1]Informacion '!P:Q,2,FALSE),"")</f>
        <v>Paquete</v>
      </c>
      <c r="D1225" s="33">
        <v>200</v>
      </c>
      <c r="E1225" s="36">
        <v>200</v>
      </c>
      <c r="F1225" s="37">
        <f t="shared" ca="1" si="31"/>
        <v>40000</v>
      </c>
    </row>
    <row r="1226" spans="1:6" ht="14.1" customHeight="1" x14ac:dyDescent="0.25">
      <c r="A1226" s="33" t="s">
        <v>249</v>
      </c>
      <c r="B1226" s="34" t="str">
        <f ca="1">IFERROR(INDEX(UNSPSCDes,MATCH(INDIRECT(ADDRESS(ROW(),COLUMN()-1,4)),UNSPSCCode,0)),IF(INDIRECT(ADDRESS(ROW(),COLUMN()-1,4))="50161509","Azucares naturales o productos endulzantes",""))</f>
        <v>Azucares naturales o productos endulzantes</v>
      </c>
      <c r="C1226" s="35" t="str">
        <f>IFERROR(VLOOKUP("PAQ",'[1]Informacion '!P:Q,2,FALSE),"")</f>
        <v>Paquete</v>
      </c>
      <c r="D1226" s="33">
        <v>75</v>
      </c>
      <c r="E1226" s="36">
        <v>200</v>
      </c>
      <c r="F1226" s="37">
        <f t="shared" ca="1" si="31"/>
        <v>15000</v>
      </c>
    </row>
    <row r="1227" spans="1:6" ht="14.1" customHeight="1" x14ac:dyDescent="0.25">
      <c r="A1227" s="33" t="s">
        <v>249</v>
      </c>
      <c r="B1227" s="34" t="str">
        <f ca="1">IFERROR(INDEX(UNSPSCDes,MATCH(INDIRECT(ADDRESS(ROW(),COLUMN()-1,4)),UNSPSCCode,0)),IF(INDIRECT(ADDRESS(ROW(),COLUMN()-1,4))="50161509","Azucares naturales o productos endulzantes",""))</f>
        <v>Azucares naturales o productos endulzantes</v>
      </c>
      <c r="C1227" s="35" t="str">
        <f>IFERROR(VLOOKUP("CAJ",'[1]Informacion '!P:Q,2,FALSE),"")</f>
        <v>Caja</v>
      </c>
      <c r="D1227" s="33">
        <v>5</v>
      </c>
      <c r="E1227" s="36">
        <v>1600</v>
      </c>
      <c r="F1227" s="37">
        <f t="shared" ca="1" si="31"/>
        <v>8000</v>
      </c>
    </row>
    <row r="1228" spans="1:6" ht="14.1" customHeight="1" x14ac:dyDescent="0.25">
      <c r="A1228" s="33" t="s">
        <v>250</v>
      </c>
      <c r="B1228" s="34" t="str">
        <f ca="1">IFERROR(INDEX(UNSPSCDes,MATCH(INDIRECT(ADDRESS(ROW(),COLUMN()-1,4)),UNSPSCCode,0)),IF(INDIRECT(ADDRESS(ROW(),COLUMN()-1,4))="50201711","Té instantáneo",""))</f>
        <v>Té instantáneo</v>
      </c>
      <c r="C1228" s="35" t="str">
        <f>IFERROR(VLOOKUP("CAJ",'[1]Informacion '!P:Q,2,FALSE),"")</f>
        <v>Caja</v>
      </c>
      <c r="D1228" s="33">
        <v>10</v>
      </c>
      <c r="E1228" s="36">
        <v>200</v>
      </c>
      <c r="F1228" s="37">
        <f t="shared" ca="1" si="31"/>
        <v>2000</v>
      </c>
    </row>
    <row r="1229" spans="1:6" ht="14.1" customHeight="1" x14ac:dyDescent="0.25">
      <c r="A1229" s="33" t="s">
        <v>251</v>
      </c>
      <c r="B1229" s="34" t="str">
        <f ca="1">IFERROR(INDEX(UNSPSCDes,MATCH(INDIRECT(ADDRESS(ROW(),COLUMN()-1,4)),UNSPSCCode,0)),IF(INDIRECT(ADDRESS(ROW(),COLUMN()-1,4))="50201714","Cremas no lácteas",""))</f>
        <v>Cremas no lácteas</v>
      </c>
      <c r="C1229" s="35" t="str">
        <f>IFERROR(VLOOKUP("UD",'[1]Informacion '!P:Q,2,FALSE),"")</f>
        <v>Unidad</v>
      </c>
      <c r="D1229" s="33">
        <v>5</v>
      </c>
      <c r="E1229" s="36">
        <v>400</v>
      </c>
      <c r="F1229" s="37">
        <f t="shared" ca="1" si="31"/>
        <v>2000</v>
      </c>
    </row>
    <row r="1230" spans="1:6" ht="14.1" customHeight="1" x14ac:dyDescent="0.25">
      <c r="A1230" s="33" t="s">
        <v>252</v>
      </c>
      <c r="B1230" s="34" t="str">
        <f ca="1">IFERROR(INDEX(UNSPSCDes,MATCH(INDIRECT(ADDRESS(ROW(),COLUMN()-1,4)),UNSPSCCode,0)),IF(INDIRECT(ADDRESS(ROW(),COLUMN()-1,4))="50201706","Café",""))</f>
        <v>Café</v>
      </c>
      <c r="C1230" s="35" t="str">
        <f>IFERROR(VLOOKUP("PAQ",'[1]Informacion '!P:Q,2,FALSE),"")</f>
        <v>Paquete</v>
      </c>
      <c r="D1230" s="33">
        <v>200</v>
      </c>
      <c r="E1230" s="36">
        <v>225</v>
      </c>
      <c r="F1230" s="37">
        <f t="shared" ca="1" si="31"/>
        <v>45000</v>
      </c>
    </row>
    <row r="1231" spans="1:6" ht="14.1" customHeight="1" x14ac:dyDescent="0.25">
      <c r="A1231" s="33" t="s">
        <v>253</v>
      </c>
      <c r="B1231" s="34" t="str">
        <f ca="1">IFERROR(INDEX(UNSPSCDes,MATCH(INDIRECT(ADDRESS(ROW(),COLUMN()-1,4)),UNSPSCCode,0)),IF(INDIRECT(ADDRESS(ROW(),COLUMN()-1,4))="50151513","Aceites vegetales o  de planta comestibles",""))</f>
        <v>Aceites vegetales o  de planta comestibles</v>
      </c>
      <c r="C1231" s="35" t="str">
        <f>IFERROR(VLOOKUP("GAL",'[1]Informacion '!P:Q,2,FALSE),"")</f>
        <v>Galón</v>
      </c>
      <c r="D1231" s="33">
        <v>6</v>
      </c>
      <c r="E1231" s="36">
        <v>1500</v>
      </c>
      <c r="F1231" s="37">
        <f t="shared" ca="1" si="31"/>
        <v>9000</v>
      </c>
    </row>
    <row r="1232" spans="1:6" ht="14.1" customHeight="1" x14ac:dyDescent="0.25">
      <c r="A1232" s="33" t="s">
        <v>254</v>
      </c>
      <c r="B1232" s="34" t="str">
        <f ca="1">IFERROR(INDEX(UNSPSCDes,MATCH(INDIRECT(ADDRESS(ROW(),COLUMN()-1,4)),UNSPSCCode,0)),IF(INDIRECT(ADDRESS(ROW(),COLUMN()-1,4))="50171707","Vinagres",""))</f>
        <v>Vinagres</v>
      </c>
      <c r="C1232" s="35" t="str">
        <f>IFERROR(VLOOKUP("UD",'[1]Informacion '!P:Q,2,FALSE),"")</f>
        <v>Unidad</v>
      </c>
      <c r="D1232" s="33">
        <v>4</v>
      </c>
      <c r="E1232" s="36">
        <v>400</v>
      </c>
      <c r="F1232" s="37">
        <f t="shared" ca="1" si="31"/>
        <v>1600</v>
      </c>
    </row>
    <row r="1233" spans="1:10" ht="14.1" customHeight="1" x14ac:dyDescent="0.25">
      <c r="A1233" s="33" t="s">
        <v>255</v>
      </c>
      <c r="B1233" s="34" t="str">
        <f ca="1">IFERROR(INDEX(UNSPSCDes,MATCH(INDIRECT(ADDRESS(ROW(),COLUMN()-1,4)),UNSPSCCode,0)),IF(INDIRECT(ADDRESS(ROW(),COLUMN()-1,4))="50171551","Sal de mesa",""))</f>
        <v>Sal de mesa</v>
      </c>
      <c r="C1233" s="35" t="str">
        <f>IFERROR(VLOOKUP("GAL",'[1]Informacion '!P:Q,2,FALSE),"")</f>
        <v>Galón</v>
      </c>
      <c r="D1233" s="33">
        <v>3</v>
      </c>
      <c r="E1233" s="36">
        <v>250</v>
      </c>
      <c r="F1233" s="37">
        <f t="shared" ca="1" si="31"/>
        <v>750</v>
      </c>
    </row>
    <row r="1234" spans="1:10" ht="14.1" customHeight="1" x14ac:dyDescent="0.25">
      <c r="A1234" s="33" t="s">
        <v>256</v>
      </c>
      <c r="B1234" s="34" t="str">
        <f ca="1">IFERROR(INDEX(UNSPSCDes,MATCH(INDIRECT(ADDRESS(ROW(),COLUMN()-1,4)),UNSPSCCode,0)),IF(INDIRECT(ADDRESS(ROW(),COLUMN()-1,4))="90101603","Servicios de cáterin",""))</f>
        <v>Servicios de cáterin</v>
      </c>
      <c r="C1234" s="35" t="str">
        <f>IFERROR(VLOOKUP("UD",'[1]Informacion '!P:Q,2,FALSE),"")</f>
        <v>Unidad</v>
      </c>
      <c r="D1234" s="33">
        <v>1</v>
      </c>
      <c r="E1234" s="36">
        <v>135000</v>
      </c>
      <c r="F1234" s="37">
        <f t="shared" ca="1" si="31"/>
        <v>135000</v>
      </c>
    </row>
    <row r="1235" spans="1:10" ht="14.1" customHeight="1" x14ac:dyDescent="0.25">
      <c r="E1235" s="38" t="s">
        <v>48</v>
      </c>
      <c r="F1235" s="39">
        <f ca="1">SUM(Table64[MONTO TOTAL ESTIMADO])</f>
        <v>264600</v>
      </c>
      <c r="H1235" s="25" t="str">
        <f>C1217</f>
        <v>Bienes</v>
      </c>
      <c r="I1235" s="25" t="str">
        <f>E1217</f>
        <v>Sí</v>
      </c>
      <c r="J1235" s="25" t="str">
        <f>D1217</f>
        <v>Compras Menores</v>
      </c>
    </row>
    <row r="1236" spans="1:10" ht="14.1" customHeight="1" x14ac:dyDescent="0.25"/>
    <row r="1237" spans="1:10" ht="34.15" customHeight="1" thickBot="1" x14ac:dyDescent="0.3">
      <c r="A1237" s="24" t="s">
        <v>19</v>
      </c>
      <c r="B1237" s="24" t="s">
        <v>20</v>
      </c>
      <c r="C1237" s="24" t="s">
        <v>21</v>
      </c>
      <c r="D1237" s="24" t="s">
        <v>22</v>
      </c>
      <c r="E1237" s="24" t="s">
        <v>23</v>
      </c>
      <c r="F1237" s="24" t="s">
        <v>24</v>
      </c>
    </row>
    <row r="1238" spans="1:10" ht="14.1" customHeight="1" thickBot="1" x14ac:dyDescent="0.3">
      <c r="A1238" s="26" t="s">
        <v>247</v>
      </c>
      <c r="B1238" s="26" t="s">
        <v>247</v>
      </c>
      <c r="C1238" s="26" t="s">
        <v>27</v>
      </c>
      <c r="D1238" s="26" t="s">
        <v>28</v>
      </c>
      <c r="E1238" s="26" t="s">
        <v>54</v>
      </c>
      <c r="F1238" s="26"/>
    </row>
    <row r="1239" spans="1:10" ht="14.1" customHeight="1" thickBot="1" x14ac:dyDescent="0.3">
      <c r="A1239" s="43" t="s">
        <v>30</v>
      </c>
      <c r="B1239" s="27" t="s">
        <v>31</v>
      </c>
      <c r="C1239" s="28">
        <v>44652</v>
      </c>
      <c r="D1239" s="43" t="s">
        <v>32</v>
      </c>
      <c r="E1239" s="29" t="s">
        <v>33</v>
      </c>
      <c r="F1239" s="30" t="s">
        <v>34</v>
      </c>
    </row>
    <row r="1240" spans="1:10" ht="14.1" customHeight="1" thickBot="1" x14ac:dyDescent="0.3">
      <c r="A1240" s="44"/>
      <c r="B1240" s="27" t="s">
        <v>35</v>
      </c>
      <c r="C1240" s="31">
        <f>IF(C1239="","",IF(AND(MONTH(C1239)&gt;=1,MONTH(C1239)&lt;=3),1,IF(AND(MONTH(C1239)&gt;=4,MONTH(C1239)&lt;=6),2,IF(AND(MONTH(C1239)&gt;=7,MONTH(C1239)&lt;=9),3,4))))</f>
        <v>2</v>
      </c>
      <c r="D1240" s="44"/>
      <c r="E1240" s="29" t="s">
        <v>36</v>
      </c>
      <c r="F1240" s="30"/>
    </row>
    <row r="1241" spans="1:10" ht="14.1" customHeight="1" thickBot="1" x14ac:dyDescent="0.3">
      <c r="A1241" s="44"/>
      <c r="B1241" s="27" t="s">
        <v>37</v>
      </c>
      <c r="C1241" s="28">
        <v>44742</v>
      </c>
      <c r="D1241" s="44"/>
      <c r="E1241" s="29" t="s">
        <v>38</v>
      </c>
      <c r="F1241" s="30"/>
    </row>
    <row r="1242" spans="1:10" ht="14.1" customHeight="1" thickBot="1" x14ac:dyDescent="0.3">
      <c r="A1242" s="44"/>
      <c r="B1242" s="27" t="s">
        <v>35</v>
      </c>
      <c r="C1242" s="31">
        <f>IF(C1241="","",IF(AND(MONTH(C1241)&gt;=1,MONTH(C1241)&lt;=3),1,IF(AND(MONTH(C1241)&gt;=4,MONTH(C1241)&lt;=6),2,IF(AND(MONTH(C1241)&gt;=7,MONTH(C1241)&lt;=9),3,4))))</f>
        <v>2</v>
      </c>
      <c r="D1242" s="44"/>
      <c r="E1242" s="29" t="s">
        <v>39</v>
      </c>
      <c r="F1242" s="30"/>
    </row>
    <row r="1243" spans="1:10" ht="14.1" customHeight="1" x14ac:dyDescent="0.25"/>
    <row r="1244" spans="1:10" ht="14.1" customHeight="1" thickBot="1" x14ac:dyDescent="0.3">
      <c r="A1244" s="32" t="s">
        <v>40</v>
      </c>
      <c r="B1244" s="32" t="s">
        <v>41</v>
      </c>
      <c r="C1244" s="32" t="s">
        <v>42</v>
      </c>
      <c r="D1244" s="32" t="s">
        <v>43</v>
      </c>
      <c r="E1244" s="32" t="s">
        <v>44</v>
      </c>
      <c r="F1244" s="32" t="s">
        <v>45</v>
      </c>
    </row>
    <row r="1245" spans="1:10" ht="14.1" customHeight="1" x14ac:dyDescent="0.25">
      <c r="A1245" s="33" t="s">
        <v>248</v>
      </c>
      <c r="B1245" s="34" t="str">
        <f ca="1">IFERROR(INDEX(UNSPSCDes,MATCH(INDIRECT(ADDRESS(ROW(),COLUMN()-1,4)),UNSPSCCode,0)),IF(INDIRECT(ADDRESS(ROW(),COLUMN()-1,4))="50202310","Agua mineral",""))</f>
        <v>Agua mineral</v>
      </c>
      <c r="C1245" s="35" t="str">
        <f>IFERROR(VLOOKUP("PAQ",'[1]Informacion '!P:Q,2,FALSE),"")</f>
        <v>Paquete</v>
      </c>
      <c r="D1245" s="33">
        <v>25</v>
      </c>
      <c r="E1245" s="36">
        <v>250</v>
      </c>
      <c r="F1245" s="37">
        <f t="shared" ref="F1245:F1255" ca="1" si="32">INDIRECT(ADDRESS(ROW(),COLUMN()-2,4))*INDIRECT(ADDRESS(ROW(),COLUMN()-1,4))</f>
        <v>6250</v>
      </c>
    </row>
    <row r="1246" spans="1:10" ht="14.1" customHeight="1" x14ac:dyDescent="0.25">
      <c r="A1246" s="33" t="s">
        <v>249</v>
      </c>
      <c r="B1246" s="34" t="str">
        <f ca="1">IFERROR(INDEX(UNSPSCDes,MATCH(INDIRECT(ADDRESS(ROW(),COLUMN()-1,4)),UNSPSCCode,0)),IF(INDIRECT(ADDRESS(ROW(),COLUMN()-1,4))="50161509","Azucares naturales o productos endulzantes",""))</f>
        <v>Azucares naturales o productos endulzantes</v>
      </c>
      <c r="C1246" s="35" t="str">
        <f>IFERROR(VLOOKUP("PAQ",'[1]Informacion '!P:Q,2,FALSE),"")</f>
        <v>Paquete</v>
      </c>
      <c r="D1246" s="33">
        <v>100</v>
      </c>
      <c r="E1246" s="36">
        <v>200</v>
      </c>
      <c r="F1246" s="37">
        <f t="shared" ca="1" si="32"/>
        <v>20000</v>
      </c>
    </row>
    <row r="1247" spans="1:10" ht="14.1" customHeight="1" x14ac:dyDescent="0.25">
      <c r="A1247" s="33" t="s">
        <v>249</v>
      </c>
      <c r="B1247" s="34" t="str">
        <f ca="1">IFERROR(INDEX(UNSPSCDes,MATCH(INDIRECT(ADDRESS(ROW(),COLUMN()-1,4)),UNSPSCCode,0)),IF(INDIRECT(ADDRESS(ROW(),COLUMN()-1,4))="50161509","Azucares naturales o productos endulzantes",""))</f>
        <v>Azucares naturales o productos endulzantes</v>
      </c>
      <c r="C1247" s="35" t="str">
        <f>IFERROR(VLOOKUP("PAQ",'[1]Informacion '!P:Q,2,FALSE),"")</f>
        <v>Paquete</v>
      </c>
      <c r="D1247" s="33">
        <v>75</v>
      </c>
      <c r="E1247" s="36">
        <v>200</v>
      </c>
      <c r="F1247" s="37">
        <f t="shared" ca="1" si="32"/>
        <v>15000</v>
      </c>
    </row>
    <row r="1248" spans="1:10" ht="14.1" customHeight="1" x14ac:dyDescent="0.25">
      <c r="A1248" s="33" t="s">
        <v>249</v>
      </c>
      <c r="B1248" s="34" t="str">
        <f ca="1">IFERROR(INDEX(UNSPSCDes,MATCH(INDIRECT(ADDRESS(ROW(),COLUMN()-1,4)),UNSPSCCode,0)),IF(INDIRECT(ADDRESS(ROW(),COLUMN()-1,4))="50161509","Azucares naturales o productos endulzantes",""))</f>
        <v>Azucares naturales o productos endulzantes</v>
      </c>
      <c r="C1248" s="35" t="str">
        <f>IFERROR(VLOOKUP("CAJ",'[1]Informacion '!P:Q,2,FALSE),"")</f>
        <v>Caja</v>
      </c>
      <c r="D1248" s="33">
        <v>5</v>
      </c>
      <c r="E1248" s="36">
        <v>1600</v>
      </c>
      <c r="F1248" s="37">
        <f t="shared" ca="1" si="32"/>
        <v>8000</v>
      </c>
    </row>
    <row r="1249" spans="1:10" ht="14.1" customHeight="1" x14ac:dyDescent="0.25">
      <c r="A1249" s="33" t="s">
        <v>250</v>
      </c>
      <c r="B1249" s="34" t="str">
        <f ca="1">IFERROR(INDEX(UNSPSCDes,MATCH(INDIRECT(ADDRESS(ROW(),COLUMN()-1,4)),UNSPSCCode,0)),IF(INDIRECT(ADDRESS(ROW(),COLUMN()-1,4))="50201711","Té instantáneo",""))</f>
        <v>Té instantáneo</v>
      </c>
      <c r="C1249" s="35" t="str">
        <f>IFERROR(VLOOKUP("CAJ",'[1]Informacion '!P:Q,2,FALSE),"")</f>
        <v>Caja</v>
      </c>
      <c r="D1249" s="33">
        <v>10</v>
      </c>
      <c r="E1249" s="36">
        <v>200</v>
      </c>
      <c r="F1249" s="37">
        <f t="shared" ca="1" si="32"/>
        <v>2000</v>
      </c>
    </row>
    <row r="1250" spans="1:10" ht="14.1" customHeight="1" x14ac:dyDescent="0.25">
      <c r="A1250" s="33" t="s">
        <v>251</v>
      </c>
      <c r="B1250" s="34" t="str">
        <f ca="1">IFERROR(INDEX(UNSPSCDes,MATCH(INDIRECT(ADDRESS(ROW(),COLUMN()-1,4)),UNSPSCCode,0)),IF(INDIRECT(ADDRESS(ROW(),COLUMN()-1,4))="50201714","Cremas no lácteas",""))</f>
        <v>Cremas no lácteas</v>
      </c>
      <c r="C1250" s="35" t="str">
        <f>IFERROR(VLOOKUP("UD",'[1]Informacion '!P:Q,2,FALSE),"")</f>
        <v>Unidad</v>
      </c>
      <c r="D1250" s="33">
        <v>5</v>
      </c>
      <c r="E1250" s="36">
        <v>400</v>
      </c>
      <c r="F1250" s="37">
        <f t="shared" ca="1" si="32"/>
        <v>2000</v>
      </c>
    </row>
    <row r="1251" spans="1:10" ht="14.1" customHeight="1" x14ac:dyDescent="0.25">
      <c r="A1251" s="33" t="s">
        <v>252</v>
      </c>
      <c r="B1251" s="34" t="str">
        <f ca="1">IFERROR(INDEX(UNSPSCDes,MATCH(INDIRECT(ADDRESS(ROW(),COLUMN()-1,4)),UNSPSCCode,0)),IF(INDIRECT(ADDRESS(ROW(),COLUMN()-1,4))="50201706","Café",""))</f>
        <v>Café</v>
      </c>
      <c r="C1251" s="35" t="str">
        <f>IFERROR(VLOOKUP("PAQ",'[1]Informacion '!P:Q,2,FALSE),"")</f>
        <v>Paquete</v>
      </c>
      <c r="D1251" s="33">
        <v>200</v>
      </c>
      <c r="E1251" s="36">
        <v>225</v>
      </c>
      <c r="F1251" s="37">
        <f t="shared" ca="1" si="32"/>
        <v>45000</v>
      </c>
    </row>
    <row r="1252" spans="1:10" ht="14.1" customHeight="1" x14ac:dyDescent="0.25">
      <c r="A1252" s="33" t="s">
        <v>253</v>
      </c>
      <c r="B1252" s="34" t="str">
        <f ca="1">IFERROR(INDEX(UNSPSCDes,MATCH(INDIRECT(ADDRESS(ROW(),COLUMN()-1,4)),UNSPSCCode,0)),IF(INDIRECT(ADDRESS(ROW(),COLUMN()-1,4))="50151513","Aceites vegetales o  de planta comestibles",""))</f>
        <v>Aceites vegetales o  de planta comestibles</v>
      </c>
      <c r="C1252" s="35" t="str">
        <f>IFERROR(VLOOKUP("GAL",'[1]Informacion '!P:Q,2,FALSE),"")</f>
        <v>Galón</v>
      </c>
      <c r="D1252" s="33">
        <v>6</v>
      </c>
      <c r="E1252" s="36">
        <v>1500</v>
      </c>
      <c r="F1252" s="37">
        <f t="shared" ca="1" si="32"/>
        <v>9000</v>
      </c>
    </row>
    <row r="1253" spans="1:10" ht="14.1" customHeight="1" x14ac:dyDescent="0.25">
      <c r="A1253" s="33" t="s">
        <v>254</v>
      </c>
      <c r="B1253" s="34" t="str">
        <f ca="1">IFERROR(INDEX(UNSPSCDes,MATCH(INDIRECT(ADDRESS(ROW(),COLUMN()-1,4)),UNSPSCCode,0)),IF(INDIRECT(ADDRESS(ROW(),COLUMN()-1,4))="50171707","Vinagres",""))</f>
        <v>Vinagres</v>
      </c>
      <c r="C1253" s="35" t="str">
        <f>IFERROR(VLOOKUP("GAL",'[1]Informacion '!P:Q,2,FALSE),"")</f>
        <v>Galón</v>
      </c>
      <c r="D1253" s="33">
        <v>4</v>
      </c>
      <c r="E1253" s="36">
        <v>400</v>
      </c>
      <c r="F1253" s="37">
        <f t="shared" ca="1" si="32"/>
        <v>1600</v>
      </c>
    </row>
    <row r="1254" spans="1:10" ht="14.1" customHeight="1" x14ac:dyDescent="0.25">
      <c r="A1254" s="33" t="s">
        <v>255</v>
      </c>
      <c r="B1254" s="34" t="str">
        <f ca="1">IFERROR(INDEX(UNSPSCDes,MATCH(INDIRECT(ADDRESS(ROW(),COLUMN()-1,4)),UNSPSCCode,0)),IF(INDIRECT(ADDRESS(ROW(),COLUMN()-1,4))="50171551","Sal de mesa",""))</f>
        <v>Sal de mesa</v>
      </c>
      <c r="C1254" s="35" t="str">
        <f>IFERROR(VLOOKUP("GAL",'[1]Informacion '!P:Q,2,FALSE),"")</f>
        <v>Galón</v>
      </c>
      <c r="D1254" s="33">
        <v>3</v>
      </c>
      <c r="E1254" s="36">
        <v>250</v>
      </c>
      <c r="F1254" s="37">
        <f t="shared" ca="1" si="32"/>
        <v>750</v>
      </c>
    </row>
    <row r="1255" spans="1:10" ht="14.1" customHeight="1" x14ac:dyDescent="0.25">
      <c r="A1255" s="33" t="s">
        <v>256</v>
      </c>
      <c r="B1255" s="34" t="str">
        <f ca="1">IFERROR(INDEX(UNSPSCDes,MATCH(INDIRECT(ADDRESS(ROW(),COLUMN()-1,4)),UNSPSCCode,0)),IF(INDIRECT(ADDRESS(ROW(),COLUMN()-1,4))="90101603","Servicios de cáterin",""))</f>
        <v>Servicios de cáterin</v>
      </c>
      <c r="C1255" s="35" t="str">
        <f>IFERROR(VLOOKUP("UD",'[1]Informacion '!P:Q,2,FALSE),"")</f>
        <v>Unidad</v>
      </c>
      <c r="D1255" s="33">
        <v>1</v>
      </c>
      <c r="E1255" s="36">
        <v>135000</v>
      </c>
      <c r="F1255" s="37">
        <f t="shared" ca="1" si="32"/>
        <v>135000</v>
      </c>
    </row>
    <row r="1256" spans="1:10" ht="14.1" customHeight="1" x14ac:dyDescent="0.25">
      <c r="E1256" s="38" t="s">
        <v>48</v>
      </c>
      <c r="F1256" s="39">
        <f ca="1">SUM(Table65[MONTO TOTAL ESTIMADO])</f>
        <v>244600</v>
      </c>
      <c r="H1256" s="25" t="str">
        <f>C1238</f>
        <v>Bienes</v>
      </c>
      <c r="I1256" s="25" t="str">
        <f>E1238</f>
        <v>Sí</v>
      </c>
      <c r="J1256" s="25" t="str">
        <f>D1238</f>
        <v>Compras Menores</v>
      </c>
    </row>
    <row r="1257" spans="1:10" ht="14.1" customHeight="1" x14ac:dyDescent="0.25"/>
    <row r="1258" spans="1:10" ht="34.15" customHeight="1" thickBot="1" x14ac:dyDescent="0.3">
      <c r="A1258" s="24" t="s">
        <v>19</v>
      </c>
      <c r="B1258" s="24" t="s">
        <v>20</v>
      </c>
      <c r="C1258" s="24" t="s">
        <v>21</v>
      </c>
      <c r="D1258" s="24" t="s">
        <v>22</v>
      </c>
      <c r="E1258" s="24" t="s">
        <v>23</v>
      </c>
      <c r="F1258" s="24" t="s">
        <v>24</v>
      </c>
    </row>
    <row r="1259" spans="1:10" ht="14.1" customHeight="1" thickBot="1" x14ac:dyDescent="0.3">
      <c r="A1259" s="26" t="s">
        <v>257</v>
      </c>
      <c r="B1259" s="26" t="s">
        <v>257</v>
      </c>
      <c r="C1259" s="26" t="s">
        <v>27</v>
      </c>
      <c r="D1259" s="26" t="s">
        <v>28</v>
      </c>
      <c r="E1259" s="26" t="s">
        <v>54</v>
      </c>
      <c r="F1259" s="26"/>
    </row>
    <row r="1260" spans="1:10" ht="14.1" customHeight="1" thickBot="1" x14ac:dyDescent="0.3">
      <c r="A1260" s="43" t="s">
        <v>30</v>
      </c>
      <c r="B1260" s="27" t="s">
        <v>31</v>
      </c>
      <c r="C1260" s="28">
        <v>44835</v>
      </c>
      <c r="D1260" s="43" t="s">
        <v>32</v>
      </c>
      <c r="E1260" s="29" t="s">
        <v>33</v>
      </c>
      <c r="F1260" s="30" t="s">
        <v>34</v>
      </c>
    </row>
    <row r="1261" spans="1:10" ht="14.1" customHeight="1" thickBot="1" x14ac:dyDescent="0.3">
      <c r="A1261" s="44"/>
      <c r="B1261" s="27" t="s">
        <v>35</v>
      </c>
      <c r="C1261" s="31">
        <f>IF(C1260="","",IF(AND(MONTH(C1260)&gt;=1,MONTH(C1260)&lt;=3),1,IF(AND(MONTH(C1260)&gt;=4,MONTH(C1260)&lt;=6),2,IF(AND(MONTH(C1260)&gt;=7,MONTH(C1260)&lt;=9),3,4))))</f>
        <v>4</v>
      </c>
      <c r="D1261" s="44"/>
      <c r="E1261" s="29" t="s">
        <v>36</v>
      </c>
      <c r="F1261" s="30"/>
    </row>
    <row r="1262" spans="1:10" ht="14.1" customHeight="1" thickBot="1" x14ac:dyDescent="0.3">
      <c r="A1262" s="44"/>
      <c r="B1262" s="27" t="s">
        <v>37</v>
      </c>
      <c r="C1262" s="28">
        <v>44926</v>
      </c>
      <c r="D1262" s="44"/>
      <c r="E1262" s="29" t="s">
        <v>38</v>
      </c>
      <c r="F1262" s="30"/>
    </row>
    <row r="1263" spans="1:10" ht="14.1" customHeight="1" thickBot="1" x14ac:dyDescent="0.3">
      <c r="A1263" s="44"/>
      <c r="B1263" s="27" t="s">
        <v>35</v>
      </c>
      <c r="C1263" s="31">
        <f>IF(C1262="","",IF(AND(MONTH(C1262)&gt;=1,MONTH(C1262)&lt;=3),1,IF(AND(MONTH(C1262)&gt;=4,MONTH(C1262)&lt;=6),2,IF(AND(MONTH(C1262)&gt;=7,MONTH(C1262)&lt;=9),3,4))))</f>
        <v>4</v>
      </c>
      <c r="D1263" s="44"/>
      <c r="E1263" s="29" t="s">
        <v>39</v>
      </c>
      <c r="F1263" s="30"/>
    </row>
    <row r="1264" spans="1:10" ht="14.1" customHeight="1" x14ac:dyDescent="0.25"/>
    <row r="1265" spans="1:10" ht="14.1" customHeight="1" thickBot="1" x14ac:dyDescent="0.3">
      <c r="A1265" s="32" t="s">
        <v>40</v>
      </c>
      <c r="B1265" s="32" t="s">
        <v>41</v>
      </c>
      <c r="C1265" s="32" t="s">
        <v>42</v>
      </c>
      <c r="D1265" s="32" t="s">
        <v>43</v>
      </c>
      <c r="E1265" s="32" t="s">
        <v>44</v>
      </c>
      <c r="F1265" s="32" t="s">
        <v>45</v>
      </c>
    </row>
    <row r="1266" spans="1:10" ht="14.1" customHeight="1" x14ac:dyDescent="0.25">
      <c r="A1266" s="33" t="s">
        <v>248</v>
      </c>
      <c r="B1266" s="34" t="str">
        <f ca="1">IFERROR(INDEX(UNSPSCDes,MATCH(INDIRECT(ADDRESS(ROW(),COLUMN()-1,4)),UNSPSCCode,0)),IF(INDIRECT(ADDRESS(ROW(),COLUMN()-1,4))="50202310","Agua mineral",""))</f>
        <v>Agua mineral</v>
      </c>
      <c r="C1266" s="35" t="str">
        <f>IFERROR(VLOOKUP("PAQ",'[1]Informacion '!P:Q,2,FALSE),"")</f>
        <v>Paquete</v>
      </c>
      <c r="D1266" s="33">
        <v>25</v>
      </c>
      <c r="E1266" s="36">
        <v>250</v>
      </c>
      <c r="F1266" s="37">
        <f t="shared" ref="F1266:F1276" ca="1" si="33">INDIRECT(ADDRESS(ROW(),COLUMN()-2,4))*INDIRECT(ADDRESS(ROW(),COLUMN()-1,4))</f>
        <v>6250</v>
      </c>
    </row>
    <row r="1267" spans="1:10" ht="14.1" customHeight="1" x14ac:dyDescent="0.25">
      <c r="A1267" s="33" t="s">
        <v>249</v>
      </c>
      <c r="B1267" s="34" t="str">
        <f ca="1">IFERROR(INDEX(UNSPSCDes,MATCH(INDIRECT(ADDRESS(ROW(),COLUMN()-1,4)),UNSPSCCode,0)),IF(INDIRECT(ADDRESS(ROW(),COLUMN()-1,4))="50161509","Azucares naturales o productos endulzantes",""))</f>
        <v>Azucares naturales o productos endulzantes</v>
      </c>
      <c r="C1267" s="35" t="str">
        <f>IFERROR(VLOOKUP("PAQ",'[1]Informacion '!P:Q,2,FALSE),"")</f>
        <v>Paquete</v>
      </c>
      <c r="D1267" s="33">
        <v>100</v>
      </c>
      <c r="E1267" s="36">
        <v>200</v>
      </c>
      <c r="F1267" s="37">
        <f t="shared" ca="1" si="33"/>
        <v>20000</v>
      </c>
    </row>
    <row r="1268" spans="1:10" ht="14.1" customHeight="1" x14ac:dyDescent="0.25">
      <c r="A1268" s="33" t="s">
        <v>249</v>
      </c>
      <c r="B1268" s="34" t="str">
        <f ca="1">IFERROR(INDEX(UNSPSCDes,MATCH(INDIRECT(ADDRESS(ROW(),COLUMN()-1,4)),UNSPSCCode,0)),IF(INDIRECT(ADDRESS(ROW(),COLUMN()-1,4))="50161509","Azucares naturales o productos endulzantes",""))</f>
        <v>Azucares naturales o productos endulzantes</v>
      </c>
      <c r="C1268" s="35" t="str">
        <f>IFERROR(VLOOKUP("PAQ",'[1]Informacion '!P:Q,2,FALSE),"")</f>
        <v>Paquete</v>
      </c>
      <c r="D1268" s="33">
        <v>75</v>
      </c>
      <c r="E1268" s="36">
        <v>200</v>
      </c>
      <c r="F1268" s="37">
        <f t="shared" ca="1" si="33"/>
        <v>15000</v>
      </c>
    </row>
    <row r="1269" spans="1:10" ht="14.1" customHeight="1" x14ac:dyDescent="0.25">
      <c r="A1269" s="33" t="s">
        <v>249</v>
      </c>
      <c r="B1269" s="34" t="str">
        <f ca="1">IFERROR(INDEX(UNSPSCDes,MATCH(INDIRECT(ADDRESS(ROW(),COLUMN()-1,4)),UNSPSCCode,0)),IF(INDIRECT(ADDRESS(ROW(),COLUMN()-1,4))="50161509","Azucares naturales o productos endulzantes",""))</f>
        <v>Azucares naturales o productos endulzantes</v>
      </c>
      <c r="C1269" s="35" t="str">
        <f>IFERROR(VLOOKUP("CAJ",'[1]Informacion '!P:Q,2,FALSE),"")</f>
        <v>Caja</v>
      </c>
      <c r="D1269" s="33">
        <v>5</v>
      </c>
      <c r="E1269" s="36">
        <v>1600</v>
      </c>
      <c r="F1269" s="37">
        <f t="shared" ca="1" si="33"/>
        <v>8000</v>
      </c>
    </row>
    <row r="1270" spans="1:10" ht="14.1" customHeight="1" x14ac:dyDescent="0.25">
      <c r="A1270" s="33" t="s">
        <v>250</v>
      </c>
      <c r="B1270" s="34" t="str">
        <f ca="1">IFERROR(INDEX(UNSPSCDes,MATCH(INDIRECT(ADDRESS(ROW(),COLUMN()-1,4)),UNSPSCCode,0)),IF(INDIRECT(ADDRESS(ROW(),COLUMN()-1,4))="50201711","Té instantáneo",""))</f>
        <v>Té instantáneo</v>
      </c>
      <c r="C1270" s="35" t="str">
        <f>IFERROR(VLOOKUP("CAJ",'[1]Informacion '!P:Q,2,FALSE),"")</f>
        <v>Caja</v>
      </c>
      <c r="D1270" s="33">
        <v>10</v>
      </c>
      <c r="E1270" s="36">
        <v>200</v>
      </c>
      <c r="F1270" s="37">
        <f t="shared" ca="1" si="33"/>
        <v>2000</v>
      </c>
    </row>
    <row r="1271" spans="1:10" ht="14.1" customHeight="1" x14ac:dyDescent="0.25">
      <c r="A1271" s="33" t="s">
        <v>251</v>
      </c>
      <c r="B1271" s="34" t="str">
        <f ca="1">IFERROR(INDEX(UNSPSCDes,MATCH(INDIRECT(ADDRESS(ROW(),COLUMN()-1,4)),UNSPSCCode,0)),IF(INDIRECT(ADDRESS(ROW(),COLUMN()-1,4))="50201714","Cremas no lácteas",""))</f>
        <v>Cremas no lácteas</v>
      </c>
      <c r="C1271" s="35" t="str">
        <f>IFERROR(VLOOKUP("UD",'[1]Informacion '!P:Q,2,FALSE),"")</f>
        <v>Unidad</v>
      </c>
      <c r="D1271" s="33">
        <v>5</v>
      </c>
      <c r="E1271" s="36">
        <v>400</v>
      </c>
      <c r="F1271" s="37">
        <f t="shared" ca="1" si="33"/>
        <v>2000</v>
      </c>
    </row>
    <row r="1272" spans="1:10" ht="14.1" customHeight="1" x14ac:dyDescent="0.25">
      <c r="A1272" s="33" t="s">
        <v>252</v>
      </c>
      <c r="B1272" s="34" t="str">
        <f ca="1">IFERROR(INDEX(UNSPSCDes,MATCH(INDIRECT(ADDRESS(ROW(),COLUMN()-1,4)),UNSPSCCode,0)),IF(INDIRECT(ADDRESS(ROW(),COLUMN()-1,4))="50201706","Café",""))</f>
        <v>Café</v>
      </c>
      <c r="C1272" s="35" t="str">
        <f>IFERROR(VLOOKUP("PAQ",'[1]Informacion '!P:Q,2,FALSE),"")</f>
        <v>Paquete</v>
      </c>
      <c r="D1272" s="33">
        <v>200</v>
      </c>
      <c r="E1272" s="36">
        <v>225</v>
      </c>
      <c r="F1272" s="37">
        <f t="shared" ca="1" si="33"/>
        <v>45000</v>
      </c>
    </row>
    <row r="1273" spans="1:10" ht="14.1" customHeight="1" x14ac:dyDescent="0.25">
      <c r="A1273" s="33" t="s">
        <v>253</v>
      </c>
      <c r="B1273" s="34" t="str">
        <f ca="1">IFERROR(INDEX(UNSPSCDes,MATCH(INDIRECT(ADDRESS(ROW(),COLUMN()-1,4)),UNSPSCCode,0)),IF(INDIRECT(ADDRESS(ROW(),COLUMN()-1,4))="50151513","Aceites vegetales o  de planta comestibles",""))</f>
        <v>Aceites vegetales o  de planta comestibles</v>
      </c>
      <c r="C1273" s="35" t="str">
        <f>IFERROR(VLOOKUP("GAL",'[1]Informacion '!P:Q,2,FALSE),"")</f>
        <v>Galón</v>
      </c>
      <c r="D1273" s="33">
        <v>6</v>
      </c>
      <c r="E1273" s="36">
        <v>1500</v>
      </c>
      <c r="F1273" s="37">
        <f t="shared" ca="1" si="33"/>
        <v>9000</v>
      </c>
    </row>
    <row r="1274" spans="1:10" ht="14.1" customHeight="1" x14ac:dyDescent="0.25">
      <c r="A1274" s="33" t="s">
        <v>254</v>
      </c>
      <c r="B1274" s="34" t="str">
        <f ca="1">IFERROR(INDEX(UNSPSCDes,MATCH(INDIRECT(ADDRESS(ROW(),COLUMN()-1,4)),UNSPSCCode,0)),IF(INDIRECT(ADDRESS(ROW(),COLUMN()-1,4))="50171707","Vinagres",""))</f>
        <v>Vinagres</v>
      </c>
      <c r="C1274" s="35" t="str">
        <f>IFERROR(VLOOKUP("GAL",'[1]Informacion '!P:Q,2,FALSE),"")</f>
        <v>Galón</v>
      </c>
      <c r="D1274" s="33">
        <v>4</v>
      </c>
      <c r="E1274" s="36">
        <v>400</v>
      </c>
      <c r="F1274" s="37">
        <f t="shared" ca="1" si="33"/>
        <v>1600</v>
      </c>
    </row>
    <row r="1275" spans="1:10" ht="14.1" customHeight="1" x14ac:dyDescent="0.25">
      <c r="A1275" s="33" t="s">
        <v>255</v>
      </c>
      <c r="B1275" s="34" t="str">
        <f ca="1">IFERROR(INDEX(UNSPSCDes,MATCH(INDIRECT(ADDRESS(ROW(),COLUMN()-1,4)),UNSPSCCode,0)),IF(INDIRECT(ADDRESS(ROW(),COLUMN()-1,4))="50171551","Sal de mesa",""))</f>
        <v>Sal de mesa</v>
      </c>
      <c r="C1275" s="35" t="str">
        <f>IFERROR(VLOOKUP("GAL",'[1]Informacion '!P:Q,2,FALSE),"")</f>
        <v>Galón</v>
      </c>
      <c r="D1275" s="33">
        <v>3</v>
      </c>
      <c r="E1275" s="36">
        <v>250</v>
      </c>
      <c r="F1275" s="37">
        <f t="shared" ca="1" si="33"/>
        <v>750</v>
      </c>
    </row>
    <row r="1276" spans="1:10" ht="14.1" customHeight="1" x14ac:dyDescent="0.25">
      <c r="A1276" s="33" t="s">
        <v>256</v>
      </c>
      <c r="B1276" s="34" t="str">
        <f ca="1">IFERROR(INDEX(UNSPSCDes,MATCH(INDIRECT(ADDRESS(ROW(),COLUMN()-1,4)),UNSPSCCode,0)),IF(INDIRECT(ADDRESS(ROW(),COLUMN()-1,4))="90101603","Servicios de cáterin",""))</f>
        <v>Servicios de cáterin</v>
      </c>
      <c r="C1276" s="35" t="str">
        <f>IFERROR(VLOOKUP("UD",'[1]Informacion '!P:Q,2,FALSE),"")</f>
        <v>Unidad</v>
      </c>
      <c r="D1276" s="33">
        <v>1</v>
      </c>
      <c r="E1276" s="36">
        <v>135000</v>
      </c>
      <c r="F1276" s="37">
        <f t="shared" ca="1" si="33"/>
        <v>135000</v>
      </c>
    </row>
    <row r="1277" spans="1:10" ht="14.1" customHeight="1" x14ac:dyDescent="0.25">
      <c r="E1277" s="38" t="s">
        <v>48</v>
      </c>
      <c r="F1277" s="39">
        <f ca="1">SUM(Table66[MONTO TOTAL ESTIMADO])</f>
        <v>244600</v>
      </c>
      <c r="H1277" s="25" t="str">
        <f>C1259</f>
        <v>Bienes</v>
      </c>
      <c r="I1277" s="25" t="str">
        <f>E1259</f>
        <v>Sí</v>
      </c>
      <c r="J1277" s="25" t="str">
        <f>D1259</f>
        <v>Compras Menores</v>
      </c>
    </row>
    <row r="1278" spans="1:10" ht="14.1" customHeight="1" x14ac:dyDescent="0.25"/>
    <row r="1279" spans="1:10" ht="34.15" customHeight="1" thickBot="1" x14ac:dyDescent="0.3">
      <c r="A1279" s="24" t="s">
        <v>19</v>
      </c>
      <c r="B1279" s="24" t="s">
        <v>20</v>
      </c>
      <c r="C1279" s="24" t="s">
        <v>21</v>
      </c>
      <c r="D1279" s="24" t="s">
        <v>22</v>
      </c>
      <c r="E1279" s="24" t="s">
        <v>23</v>
      </c>
      <c r="F1279" s="24" t="s">
        <v>24</v>
      </c>
    </row>
    <row r="1280" spans="1:10" ht="14.1" customHeight="1" thickBot="1" x14ac:dyDescent="0.3">
      <c r="A1280" s="26" t="s">
        <v>258</v>
      </c>
      <c r="B1280" s="26" t="s">
        <v>258</v>
      </c>
      <c r="C1280" s="26" t="s">
        <v>27</v>
      </c>
      <c r="D1280" s="26" t="s">
        <v>53</v>
      </c>
      <c r="E1280" s="26" t="s">
        <v>54</v>
      </c>
      <c r="F1280" s="26"/>
    </row>
    <row r="1281" spans="1:10" ht="14.1" customHeight="1" thickBot="1" x14ac:dyDescent="0.3">
      <c r="A1281" s="43" t="s">
        <v>30</v>
      </c>
      <c r="B1281" s="27" t="s">
        <v>31</v>
      </c>
      <c r="C1281" s="28">
        <v>44576</v>
      </c>
      <c r="D1281" s="43" t="s">
        <v>32</v>
      </c>
      <c r="E1281" s="29" t="s">
        <v>33</v>
      </c>
      <c r="F1281" s="30" t="s">
        <v>34</v>
      </c>
    </row>
    <row r="1282" spans="1:10" ht="14.1" customHeight="1" thickBot="1" x14ac:dyDescent="0.3">
      <c r="A1282" s="44"/>
      <c r="B1282" s="27" t="s">
        <v>35</v>
      </c>
      <c r="C1282" s="31">
        <f>IF(C1281="","",IF(AND(MONTH(C1281)&gt;=1,MONTH(C1281)&lt;=3),1,IF(AND(MONTH(C1281)&gt;=4,MONTH(C1281)&lt;=6),2,IF(AND(MONTH(C1281)&gt;=7,MONTH(C1281)&lt;=9),3,4))))</f>
        <v>1</v>
      </c>
      <c r="D1282" s="44"/>
      <c r="E1282" s="29" t="s">
        <v>36</v>
      </c>
      <c r="F1282" s="30"/>
    </row>
    <row r="1283" spans="1:10" ht="14.1" customHeight="1" thickBot="1" x14ac:dyDescent="0.3">
      <c r="A1283" s="44"/>
      <c r="B1283" s="27" t="s">
        <v>37</v>
      </c>
      <c r="C1283" s="28">
        <v>44651</v>
      </c>
      <c r="D1283" s="44"/>
      <c r="E1283" s="29" t="s">
        <v>38</v>
      </c>
      <c r="F1283" s="30"/>
    </row>
    <row r="1284" spans="1:10" ht="14.1" customHeight="1" thickBot="1" x14ac:dyDescent="0.3">
      <c r="A1284" s="44"/>
      <c r="B1284" s="27" t="s">
        <v>35</v>
      </c>
      <c r="C1284" s="31">
        <f>IF(C1283="","",IF(AND(MONTH(C1283)&gt;=1,MONTH(C1283)&lt;=3),1,IF(AND(MONTH(C1283)&gt;=4,MONTH(C1283)&lt;=6),2,IF(AND(MONTH(C1283)&gt;=7,MONTH(C1283)&lt;=9),3,4))))</f>
        <v>1</v>
      </c>
      <c r="D1284" s="44"/>
      <c r="E1284" s="29" t="s">
        <v>39</v>
      </c>
      <c r="F1284" s="30"/>
    </row>
    <row r="1285" spans="1:10" ht="14.1" customHeight="1" x14ac:dyDescent="0.25"/>
    <row r="1286" spans="1:10" ht="14.1" customHeight="1" thickBot="1" x14ac:dyDescent="0.3">
      <c r="A1286" s="32" t="s">
        <v>40</v>
      </c>
      <c r="B1286" s="32" t="s">
        <v>41</v>
      </c>
      <c r="C1286" s="32" t="s">
        <v>42</v>
      </c>
      <c r="D1286" s="32" t="s">
        <v>43</v>
      </c>
      <c r="E1286" s="32" t="s">
        <v>44</v>
      </c>
      <c r="F1286" s="32" t="s">
        <v>45</v>
      </c>
    </row>
    <row r="1287" spans="1:10" ht="14.1" customHeight="1" x14ac:dyDescent="0.25">
      <c r="A1287" s="33" t="s">
        <v>259</v>
      </c>
      <c r="B1287" s="34" t="str">
        <f ca="1">IFERROR(INDEX(UNSPSCDes,MATCH(INDIRECT(ADDRESS(ROW(),COLUMN()-1,4)),UNSPSCCode,0)),IF(INDIRECT(ADDRESS(ROW(),COLUMN()-1,4))="46191601","Extintores",""))</f>
        <v>Extintores</v>
      </c>
      <c r="C1287" s="35" t="str">
        <f>IFERROR(VLOOKUP("UD",'[1]Informacion '!P:Q,2,FALSE),"")</f>
        <v>Unidad</v>
      </c>
      <c r="D1287" s="33">
        <v>5</v>
      </c>
      <c r="E1287" s="36">
        <v>1500</v>
      </c>
      <c r="F1287" s="37">
        <f t="shared" ref="F1287:F1294" ca="1" si="34">INDIRECT(ADDRESS(ROW(),COLUMN()-2,4))*INDIRECT(ADDRESS(ROW(),COLUMN()-1,4))</f>
        <v>7500</v>
      </c>
    </row>
    <row r="1288" spans="1:10" ht="14.1" customHeight="1" x14ac:dyDescent="0.25">
      <c r="A1288" s="33" t="s">
        <v>260</v>
      </c>
      <c r="B1288" s="34" t="str">
        <f ca="1">IFERROR(INDEX(UNSPSCDes,MATCH(INDIRECT(ADDRESS(ROW(),COLUMN()-1,4)),UNSPSCCode,0)),IF(INDIRECT(ADDRESS(ROW(),COLUMN()-1,4))="46181604","Botas de seguridad",""))</f>
        <v>Botas de seguridad</v>
      </c>
      <c r="C1288" s="35" t="str">
        <f>IFERROR(VLOOKUP("UD",'[1]Informacion '!P:Q,2,FALSE),"")</f>
        <v>Unidad</v>
      </c>
      <c r="D1288" s="33">
        <v>4</v>
      </c>
      <c r="E1288" s="36">
        <v>2000</v>
      </c>
      <c r="F1288" s="37">
        <f t="shared" ca="1" si="34"/>
        <v>8000</v>
      </c>
    </row>
    <row r="1289" spans="1:10" ht="14.1" customHeight="1" x14ac:dyDescent="0.25">
      <c r="A1289" s="33" t="s">
        <v>261</v>
      </c>
      <c r="B1289" s="34" t="str">
        <f ca="1">IFERROR(INDEX(UNSPSCDes,MATCH(INDIRECT(ADDRESS(ROW(),COLUMN()-1,4)),UNSPSCCode,0)),IF(INDIRECT(ADDRESS(ROW(),COLUMN()-1,4))="46181701","Cascos",""))</f>
        <v>Cascos</v>
      </c>
      <c r="C1289" s="35" t="str">
        <f>IFERROR(VLOOKUP("UD",'[1]Informacion '!P:Q,2,FALSE),"")</f>
        <v>Unidad</v>
      </c>
      <c r="D1289" s="33">
        <v>10</v>
      </c>
      <c r="E1289" s="36">
        <v>250</v>
      </c>
      <c r="F1289" s="37">
        <f t="shared" ca="1" si="34"/>
        <v>2500</v>
      </c>
    </row>
    <row r="1290" spans="1:10" ht="14.1" customHeight="1" x14ac:dyDescent="0.25">
      <c r="A1290" s="33" t="s">
        <v>262</v>
      </c>
      <c r="B1290" s="34" t="str">
        <f ca="1">IFERROR(INDEX(UNSPSCDes,MATCH(INDIRECT(ADDRESS(ROW(),COLUMN()-1,4)),UNSPSCCode,0)),IF(INDIRECT(ADDRESS(ROW(),COLUMN()-1,4))="46181507","Chalecos de seguridad",""))</f>
        <v>Chalecos de seguridad</v>
      </c>
      <c r="C1290" s="35" t="str">
        <f>IFERROR(VLOOKUP("UD",'[1]Informacion '!P:Q,2,FALSE),"")</f>
        <v>Unidad</v>
      </c>
      <c r="D1290" s="33">
        <v>10</v>
      </c>
      <c r="E1290" s="36">
        <v>300</v>
      </c>
      <c r="F1290" s="37">
        <f t="shared" ca="1" si="34"/>
        <v>3000</v>
      </c>
    </row>
    <row r="1291" spans="1:10" ht="14.1" customHeight="1" x14ac:dyDescent="0.25">
      <c r="A1291" s="33" t="s">
        <v>263</v>
      </c>
      <c r="B1291" s="34" t="str">
        <f ca="1">IFERROR(INDEX(UNSPSCDes,MATCH(INDIRECT(ADDRESS(ROW(),COLUMN()-1,4)),UNSPSCCode,0)),IF(INDIRECT(ADDRESS(ROW(),COLUMN()-1,4))="42241811","Faja para hernias",""))</f>
        <v>Faja para hernias</v>
      </c>
      <c r="C1291" s="35" t="str">
        <f>IFERROR(VLOOKUP("UD",'[1]Informacion '!P:Q,2,FALSE),"")</f>
        <v>Unidad</v>
      </c>
      <c r="D1291" s="33">
        <v>5</v>
      </c>
      <c r="E1291" s="36">
        <v>1000</v>
      </c>
      <c r="F1291" s="37">
        <f t="shared" ca="1" si="34"/>
        <v>5000</v>
      </c>
    </row>
    <row r="1292" spans="1:10" ht="14.1" customHeight="1" x14ac:dyDescent="0.25">
      <c r="A1292" s="33" t="s">
        <v>230</v>
      </c>
      <c r="B1292" s="34" t="str">
        <f ca="1">IFERROR(INDEX(UNSPSCDes,MATCH(INDIRECT(ADDRESS(ROW(),COLUMN()-1,4)),UNSPSCCode,0)),IF(INDIRECT(ADDRESS(ROW(),COLUMN()-1,4))="46181504","Guantes de protección",""))</f>
        <v>Guantes de protección</v>
      </c>
      <c r="C1292" s="35" t="str">
        <f>IFERROR(VLOOKUP("UD",'[1]Informacion '!P:Q,2,FALSE),"")</f>
        <v>Unidad</v>
      </c>
      <c r="D1292" s="33">
        <v>5</v>
      </c>
      <c r="E1292" s="36">
        <v>300</v>
      </c>
      <c r="F1292" s="37">
        <f t="shared" ca="1" si="34"/>
        <v>1500</v>
      </c>
    </row>
    <row r="1293" spans="1:10" ht="14.1" customHeight="1" x14ac:dyDescent="0.25">
      <c r="A1293" s="33" t="s">
        <v>264</v>
      </c>
      <c r="B1293" s="34" t="str">
        <f ca="1">IFERROR(INDEX(UNSPSCDes,MATCH(INDIRECT(ADDRESS(ROW(),COLUMN()-1,4)),UNSPSCCode,0)),IF(INDIRECT(ADDRESS(ROW(),COLUMN()-1,4))="60131105","Silbatos",""))</f>
        <v>Silbatos</v>
      </c>
      <c r="C1293" s="35" t="str">
        <f>IFERROR(VLOOKUP("UD",'[1]Informacion '!P:Q,2,FALSE),"")</f>
        <v>Unidad</v>
      </c>
      <c r="D1293" s="33">
        <v>120</v>
      </c>
      <c r="E1293" s="36">
        <v>350</v>
      </c>
      <c r="F1293" s="37">
        <f t="shared" ca="1" si="34"/>
        <v>42000</v>
      </c>
    </row>
    <row r="1294" spans="1:10" ht="14.1" customHeight="1" x14ac:dyDescent="0.25">
      <c r="A1294" s="33" t="s">
        <v>265</v>
      </c>
      <c r="B1294" s="34" t="str">
        <f ca="1">IFERROR(INDEX(UNSPSCDes,MATCH(INDIRECT(ADDRESS(ROW(),COLUMN()-1,4)),UNSPSCCode,0)),IF(INDIRECT(ADDRESS(ROW(),COLUMN()-1,4))="46171610","Cámaras de seguridad",""))</f>
        <v>Cámaras de seguridad</v>
      </c>
      <c r="C1294" s="35" t="str">
        <f>IFERROR(VLOOKUP("UD",'[1]Informacion '!P:Q,2,FALSE),"")</f>
        <v>Unidad</v>
      </c>
      <c r="D1294" s="33">
        <v>1</v>
      </c>
      <c r="E1294" s="36">
        <v>1500000</v>
      </c>
      <c r="F1294" s="37">
        <f t="shared" ca="1" si="34"/>
        <v>1500000</v>
      </c>
    </row>
    <row r="1295" spans="1:10" ht="14.1" customHeight="1" x14ac:dyDescent="0.25">
      <c r="E1295" s="38" t="s">
        <v>48</v>
      </c>
      <c r="F1295" s="39">
        <f ca="1">SUM(Table67[MONTO TOTAL ESTIMADO])</f>
        <v>1569500</v>
      </c>
      <c r="H1295" s="25" t="str">
        <f>C1280</f>
        <v>Bienes</v>
      </c>
      <c r="I1295" s="25" t="str">
        <f>E1280</f>
        <v>Sí</v>
      </c>
      <c r="J1295" s="25" t="str">
        <f>D1280</f>
        <v>Compras por debajo del Umbral</v>
      </c>
    </row>
    <row r="1296" spans="1:10" ht="14.1" customHeight="1" x14ac:dyDescent="0.25"/>
    <row r="1297" spans="1:10" ht="34.15" customHeight="1" thickBot="1" x14ac:dyDescent="0.3">
      <c r="A1297" s="24" t="s">
        <v>19</v>
      </c>
      <c r="B1297" s="24" t="s">
        <v>20</v>
      </c>
      <c r="C1297" s="24" t="s">
        <v>21</v>
      </c>
      <c r="D1297" s="24" t="s">
        <v>22</v>
      </c>
      <c r="E1297" s="24" t="s">
        <v>23</v>
      </c>
      <c r="F1297" s="24" t="s">
        <v>24</v>
      </c>
    </row>
    <row r="1298" spans="1:10" ht="14.1" customHeight="1" thickBot="1" x14ac:dyDescent="0.3">
      <c r="A1298" s="26" t="s">
        <v>258</v>
      </c>
      <c r="B1298" s="26" t="s">
        <v>258</v>
      </c>
      <c r="C1298" s="26" t="s">
        <v>27</v>
      </c>
      <c r="D1298" s="26" t="s">
        <v>53</v>
      </c>
      <c r="E1298" s="26" t="s">
        <v>54</v>
      </c>
      <c r="F1298" s="26"/>
    </row>
    <row r="1299" spans="1:10" ht="14.1" customHeight="1" thickBot="1" x14ac:dyDescent="0.3">
      <c r="A1299" s="43" t="s">
        <v>30</v>
      </c>
      <c r="B1299" s="27" t="s">
        <v>31</v>
      </c>
      <c r="C1299" s="28">
        <v>44743</v>
      </c>
      <c r="D1299" s="43" t="s">
        <v>32</v>
      </c>
      <c r="E1299" s="29" t="s">
        <v>33</v>
      </c>
      <c r="F1299" s="30" t="s">
        <v>34</v>
      </c>
    </row>
    <row r="1300" spans="1:10" ht="14.1" customHeight="1" thickBot="1" x14ac:dyDescent="0.3">
      <c r="A1300" s="44"/>
      <c r="B1300" s="27" t="s">
        <v>35</v>
      </c>
      <c r="C1300" s="31">
        <f>IF(C1299="","",IF(AND(MONTH(C1299)&gt;=1,MONTH(C1299)&lt;=3),1,IF(AND(MONTH(C1299)&gt;=4,MONTH(C1299)&lt;=6),2,IF(AND(MONTH(C1299)&gt;=7,MONTH(C1299)&lt;=9),3,4))))</f>
        <v>3</v>
      </c>
      <c r="D1300" s="44"/>
      <c r="E1300" s="29" t="s">
        <v>36</v>
      </c>
      <c r="F1300" s="30"/>
    </row>
    <row r="1301" spans="1:10" ht="14.1" customHeight="1" thickBot="1" x14ac:dyDescent="0.3">
      <c r="A1301" s="44"/>
      <c r="B1301" s="27" t="s">
        <v>37</v>
      </c>
      <c r="C1301" s="28">
        <v>44834</v>
      </c>
      <c r="D1301" s="44"/>
      <c r="E1301" s="29" t="s">
        <v>38</v>
      </c>
      <c r="F1301" s="30"/>
    </row>
    <row r="1302" spans="1:10" ht="14.1" customHeight="1" thickBot="1" x14ac:dyDescent="0.3">
      <c r="A1302" s="44"/>
      <c r="B1302" s="27" t="s">
        <v>35</v>
      </c>
      <c r="C1302" s="31">
        <f>IF(C1301="","",IF(AND(MONTH(C1301)&gt;=1,MONTH(C1301)&lt;=3),1,IF(AND(MONTH(C1301)&gt;=4,MONTH(C1301)&lt;=6),2,IF(AND(MONTH(C1301)&gt;=7,MONTH(C1301)&lt;=9),3,4))))</f>
        <v>3</v>
      </c>
      <c r="D1302" s="44"/>
      <c r="E1302" s="29" t="s">
        <v>39</v>
      </c>
      <c r="F1302" s="30"/>
    </row>
    <row r="1303" spans="1:10" ht="14.1" customHeight="1" x14ac:dyDescent="0.25"/>
    <row r="1304" spans="1:10" ht="14.1" customHeight="1" thickBot="1" x14ac:dyDescent="0.3">
      <c r="A1304" s="32" t="s">
        <v>40</v>
      </c>
      <c r="B1304" s="32" t="s">
        <v>41</v>
      </c>
      <c r="C1304" s="32" t="s">
        <v>42</v>
      </c>
      <c r="D1304" s="32" t="s">
        <v>43</v>
      </c>
      <c r="E1304" s="32" t="s">
        <v>44</v>
      </c>
      <c r="F1304" s="32" t="s">
        <v>45</v>
      </c>
    </row>
    <row r="1305" spans="1:10" ht="14.1" customHeight="1" x14ac:dyDescent="0.25">
      <c r="A1305" s="33" t="s">
        <v>230</v>
      </c>
      <c r="B1305" s="34" t="str">
        <f ca="1">IFERROR(INDEX(UNSPSCDes,MATCH(INDIRECT(ADDRESS(ROW(),COLUMN()-1,4)),UNSPSCCode,0)),IF(INDIRECT(ADDRESS(ROW(),COLUMN()-1,4))="46181504","Guantes de protección",""))</f>
        <v>Guantes de protección</v>
      </c>
      <c r="C1305" s="35" t="str">
        <f>IFERROR(VLOOKUP("UD",'[1]Informacion '!P:Q,2,FALSE),"")</f>
        <v>Unidad</v>
      </c>
      <c r="D1305" s="33">
        <v>10</v>
      </c>
      <c r="E1305" s="36">
        <v>300</v>
      </c>
      <c r="F1305" s="37">
        <f ca="1">INDIRECT(ADDRESS(ROW(),COLUMN()-2,4))*INDIRECT(ADDRESS(ROW(),COLUMN()-1,4))</f>
        <v>3000</v>
      </c>
    </row>
    <row r="1306" spans="1:10" ht="14.1" customHeight="1" x14ac:dyDescent="0.25">
      <c r="E1306" s="38" t="s">
        <v>48</v>
      </c>
      <c r="F1306" s="39">
        <f ca="1">SUM(Table68[MONTO TOTAL ESTIMADO])</f>
        <v>3000</v>
      </c>
      <c r="H1306" s="25" t="str">
        <f>C1298</f>
        <v>Bienes</v>
      </c>
      <c r="I1306" s="25" t="str">
        <f>E1298</f>
        <v>Sí</v>
      </c>
      <c r="J1306" s="25" t="str">
        <f>D1298</f>
        <v>Compras por debajo del Umbral</v>
      </c>
    </row>
    <row r="1307" spans="1:10" ht="14.1" customHeight="1" x14ac:dyDescent="0.25"/>
    <row r="1308" spans="1:10" ht="34.15" customHeight="1" thickBot="1" x14ac:dyDescent="0.3">
      <c r="A1308" s="24" t="s">
        <v>19</v>
      </c>
      <c r="B1308" s="24" t="s">
        <v>20</v>
      </c>
      <c r="C1308" s="24" t="s">
        <v>21</v>
      </c>
      <c r="D1308" s="24" t="s">
        <v>22</v>
      </c>
      <c r="E1308" s="24" t="s">
        <v>23</v>
      </c>
      <c r="F1308" s="24" t="s">
        <v>24</v>
      </c>
    </row>
    <row r="1309" spans="1:10" ht="14.1" customHeight="1" thickBot="1" x14ac:dyDescent="0.3">
      <c r="A1309" s="26" t="s">
        <v>266</v>
      </c>
      <c r="B1309" s="26" t="s">
        <v>266</v>
      </c>
      <c r="C1309" s="26" t="s">
        <v>64</v>
      </c>
      <c r="D1309" s="26" t="s">
        <v>28</v>
      </c>
      <c r="E1309" s="26" t="s">
        <v>29</v>
      </c>
      <c r="F1309" s="26"/>
    </row>
    <row r="1310" spans="1:10" ht="14.1" customHeight="1" thickBot="1" x14ac:dyDescent="0.3">
      <c r="A1310" s="43" t="s">
        <v>30</v>
      </c>
      <c r="B1310" s="27" t="s">
        <v>31</v>
      </c>
      <c r="C1310" s="28">
        <v>44576</v>
      </c>
      <c r="D1310" s="43" t="s">
        <v>32</v>
      </c>
      <c r="E1310" s="29" t="s">
        <v>33</v>
      </c>
      <c r="F1310" s="30" t="s">
        <v>34</v>
      </c>
    </row>
    <row r="1311" spans="1:10" ht="14.1" customHeight="1" thickBot="1" x14ac:dyDescent="0.3">
      <c r="A1311" s="44"/>
      <c r="B1311" s="27" t="s">
        <v>35</v>
      </c>
      <c r="C1311" s="31">
        <f>IF(C1310="","",IF(AND(MONTH(C1310)&gt;=1,MONTH(C1310)&lt;=3),1,IF(AND(MONTH(C1310)&gt;=4,MONTH(C1310)&lt;=6),2,IF(AND(MONTH(C1310)&gt;=7,MONTH(C1310)&lt;=9),3,4))))</f>
        <v>1</v>
      </c>
      <c r="D1311" s="44"/>
      <c r="E1311" s="29" t="s">
        <v>36</v>
      </c>
      <c r="F1311" s="30"/>
    </row>
    <row r="1312" spans="1:10" ht="14.1" customHeight="1" thickBot="1" x14ac:dyDescent="0.3">
      <c r="A1312" s="44"/>
      <c r="B1312" s="27" t="s">
        <v>37</v>
      </c>
      <c r="C1312" s="28">
        <v>44651</v>
      </c>
      <c r="D1312" s="44"/>
      <c r="E1312" s="29" t="s">
        <v>38</v>
      </c>
      <c r="F1312" s="30"/>
    </row>
    <row r="1313" spans="1:10" ht="14.1" customHeight="1" thickBot="1" x14ac:dyDescent="0.3">
      <c r="A1313" s="44"/>
      <c r="B1313" s="27" t="s">
        <v>35</v>
      </c>
      <c r="C1313" s="31">
        <f>IF(C1312="","",IF(AND(MONTH(C1312)&gt;=1,MONTH(C1312)&lt;=3),1,IF(AND(MONTH(C1312)&gt;=4,MONTH(C1312)&lt;=6),2,IF(AND(MONTH(C1312)&gt;=7,MONTH(C1312)&lt;=9),3,4))))</f>
        <v>1</v>
      </c>
      <c r="D1313" s="44"/>
      <c r="E1313" s="29" t="s">
        <v>39</v>
      </c>
      <c r="F1313" s="30"/>
    </row>
    <row r="1314" spans="1:10" ht="14.1" customHeight="1" x14ac:dyDescent="0.25"/>
    <row r="1315" spans="1:10" ht="14.1" customHeight="1" thickBot="1" x14ac:dyDescent="0.3">
      <c r="A1315" s="32" t="s">
        <v>40</v>
      </c>
      <c r="B1315" s="32" t="s">
        <v>41</v>
      </c>
      <c r="C1315" s="32" t="s">
        <v>42</v>
      </c>
      <c r="D1315" s="32" t="s">
        <v>43</v>
      </c>
      <c r="E1315" s="32" t="s">
        <v>44</v>
      </c>
      <c r="F1315" s="32" t="s">
        <v>45</v>
      </c>
    </row>
    <row r="1316" spans="1:10" ht="14.1" customHeight="1" x14ac:dyDescent="0.25">
      <c r="A1316" s="33" t="s">
        <v>267</v>
      </c>
      <c r="B1316" s="34" t="str">
        <f ca="1">IFERROR(INDEX(UNSPSCDes,MATCH(INDIRECT(ADDRESS(ROW(),COLUMN()-1,4)),UNSPSCCode,0)),IF(INDIRECT(ADDRESS(ROW(),COLUMN()-1,4))="82101504","Publicidad en periódicos",""))</f>
        <v>Publicidad en periódicos</v>
      </c>
      <c r="C1316" s="35" t="str">
        <f>IFERROR(VLOOKUP("UD",'[1]Informacion '!P:Q,2,FALSE),"")</f>
        <v>Unidad</v>
      </c>
      <c r="D1316" s="33">
        <v>1</v>
      </c>
      <c r="E1316" s="36">
        <v>600000</v>
      </c>
      <c r="F1316" s="37">
        <f ca="1">INDIRECT(ADDRESS(ROW(),COLUMN()-2,4))*INDIRECT(ADDRESS(ROW(),COLUMN()-1,4))</f>
        <v>600000</v>
      </c>
    </row>
    <row r="1317" spans="1:10" ht="14.1" customHeight="1" x14ac:dyDescent="0.25">
      <c r="A1317" s="33" t="s">
        <v>268</v>
      </c>
      <c r="B1317" s="34" t="str">
        <f ca="1">IFERROR(INDEX(UNSPSCDes,MATCH(INDIRECT(ADDRESS(ROW(),COLUMN()-1,4)),UNSPSCCode,0)),IF(INDIRECT(ADDRESS(ROW(),COLUMN()-1,4))="82111904","Servicios de entrega de periódicos o material publicitario",""))</f>
        <v>Servicios de entrega de periódicos o material publicitario</v>
      </c>
      <c r="C1317" s="35" t="str">
        <f>IFERROR(VLOOKUP("UD",'[1]Informacion '!P:Q,2,FALSE),"")</f>
        <v>Unidad</v>
      </c>
      <c r="D1317" s="33">
        <v>1</v>
      </c>
      <c r="E1317" s="36">
        <v>100000</v>
      </c>
      <c r="F1317" s="37">
        <f ca="1">INDIRECT(ADDRESS(ROW(),COLUMN()-2,4))*INDIRECT(ADDRESS(ROW(),COLUMN()-1,4))</f>
        <v>100000</v>
      </c>
    </row>
    <row r="1318" spans="1:10" ht="14.1" customHeight="1" x14ac:dyDescent="0.25">
      <c r="E1318" s="38" t="s">
        <v>48</v>
      </c>
      <c r="F1318" s="39">
        <f ca="1">SUM(Table69[MONTO TOTAL ESTIMADO])</f>
        <v>700000</v>
      </c>
      <c r="H1318" s="25" t="str">
        <f>C1309</f>
        <v>Servicios</v>
      </c>
      <c r="I1318" s="25" t="str">
        <f>E1309</f>
        <v>No</v>
      </c>
      <c r="J1318" s="25" t="str">
        <f>D1309</f>
        <v>Compras Menores</v>
      </c>
    </row>
    <row r="1319" spans="1:10" ht="14.1" customHeight="1" x14ac:dyDescent="0.25"/>
    <row r="1320" spans="1:10" ht="34.15" customHeight="1" thickBot="1" x14ac:dyDescent="0.3">
      <c r="A1320" s="24" t="s">
        <v>19</v>
      </c>
      <c r="B1320" s="24" t="s">
        <v>20</v>
      </c>
      <c r="C1320" s="24" t="s">
        <v>21</v>
      </c>
      <c r="D1320" s="24" t="s">
        <v>22</v>
      </c>
      <c r="E1320" s="24" t="s">
        <v>23</v>
      </c>
      <c r="F1320" s="24" t="s">
        <v>24</v>
      </c>
    </row>
    <row r="1321" spans="1:10" ht="14.1" customHeight="1" thickBot="1" x14ac:dyDescent="0.3">
      <c r="A1321" s="26" t="s">
        <v>269</v>
      </c>
      <c r="B1321" s="26" t="s">
        <v>269</v>
      </c>
      <c r="C1321" s="26" t="s">
        <v>64</v>
      </c>
      <c r="D1321" s="26" t="s">
        <v>28</v>
      </c>
      <c r="E1321" s="26" t="s">
        <v>54</v>
      </c>
      <c r="F1321" s="26"/>
    </row>
    <row r="1322" spans="1:10" ht="14.1" customHeight="1" thickBot="1" x14ac:dyDescent="0.3">
      <c r="A1322" s="43" t="s">
        <v>30</v>
      </c>
      <c r="B1322" s="27" t="s">
        <v>31</v>
      </c>
      <c r="C1322" s="28">
        <v>44576</v>
      </c>
      <c r="D1322" s="43" t="s">
        <v>32</v>
      </c>
      <c r="E1322" s="29" t="s">
        <v>33</v>
      </c>
      <c r="F1322" s="30" t="s">
        <v>34</v>
      </c>
    </row>
    <row r="1323" spans="1:10" ht="14.1" customHeight="1" thickBot="1" x14ac:dyDescent="0.3">
      <c r="A1323" s="44"/>
      <c r="B1323" s="27" t="s">
        <v>35</v>
      </c>
      <c r="C1323" s="31">
        <f>IF(C1322="","",IF(AND(MONTH(C1322)&gt;=1,MONTH(C1322)&lt;=3),1,IF(AND(MONTH(C1322)&gt;=4,MONTH(C1322)&lt;=6),2,IF(AND(MONTH(C1322)&gt;=7,MONTH(C1322)&lt;=9),3,4))))</f>
        <v>1</v>
      </c>
      <c r="D1323" s="44"/>
      <c r="E1323" s="29" t="s">
        <v>36</v>
      </c>
      <c r="F1323" s="30"/>
    </row>
    <row r="1324" spans="1:10" ht="14.1" customHeight="1" thickBot="1" x14ac:dyDescent="0.3">
      <c r="A1324" s="44"/>
      <c r="B1324" s="27" t="s">
        <v>37</v>
      </c>
      <c r="C1324" s="28">
        <v>44651</v>
      </c>
      <c r="D1324" s="44"/>
      <c r="E1324" s="29" t="s">
        <v>38</v>
      </c>
      <c r="F1324" s="30"/>
    </row>
    <row r="1325" spans="1:10" ht="14.1" customHeight="1" thickBot="1" x14ac:dyDescent="0.3">
      <c r="A1325" s="44"/>
      <c r="B1325" s="27" t="s">
        <v>35</v>
      </c>
      <c r="C1325" s="31">
        <f>IF(C1324="","",IF(AND(MONTH(C1324)&gt;=1,MONTH(C1324)&lt;=3),1,IF(AND(MONTH(C1324)&gt;=4,MONTH(C1324)&lt;=6),2,IF(AND(MONTH(C1324)&gt;=7,MONTH(C1324)&lt;=9),3,4))))</f>
        <v>1</v>
      </c>
      <c r="D1325" s="44"/>
      <c r="E1325" s="29" t="s">
        <v>39</v>
      </c>
      <c r="F1325" s="30"/>
    </row>
    <row r="1326" spans="1:10" ht="14.1" customHeight="1" x14ac:dyDescent="0.25"/>
    <row r="1327" spans="1:10" ht="14.1" customHeight="1" thickBot="1" x14ac:dyDescent="0.3">
      <c r="A1327" s="32" t="s">
        <v>40</v>
      </c>
      <c r="B1327" s="32" t="s">
        <v>41</v>
      </c>
      <c r="C1327" s="32" t="s">
        <v>42</v>
      </c>
      <c r="D1327" s="32" t="s">
        <v>43</v>
      </c>
      <c r="E1327" s="32" t="s">
        <v>44</v>
      </c>
      <c r="F1327" s="32" t="s">
        <v>45</v>
      </c>
    </row>
    <row r="1328" spans="1:10" ht="14.1" customHeight="1" x14ac:dyDescent="0.25">
      <c r="A1328" s="33" t="s">
        <v>270</v>
      </c>
      <c r="B1328" s="34" t="str">
        <f ca="1">IFERROR(INDEX(UNSPSCDes,MATCH(INDIRECT(ADDRESS(ROW(),COLUMN()-1,4)),UNSPSCCode,0)),IF(INDIRECT(ADDRESS(ROW(),COLUMN()-1,4))="72102305","Servicios de reparación, mantenimiento o reparación de aire acondicionado",""))</f>
        <v>Servicios de reparación, mantenimiento o reparación de aire acondicionado</v>
      </c>
      <c r="C1328" s="35" t="str">
        <f>IFERROR(VLOOKUP("UD",'[1]Informacion '!P:Q,2,FALSE),"")</f>
        <v>Unidad</v>
      </c>
      <c r="D1328" s="33">
        <v>1</v>
      </c>
      <c r="E1328" s="36">
        <v>1000000</v>
      </c>
      <c r="F1328" s="37">
        <f ca="1">INDIRECT(ADDRESS(ROW(),COLUMN()-2,4))*INDIRECT(ADDRESS(ROW(),COLUMN()-1,4))</f>
        <v>1000000</v>
      </c>
    </row>
    <row r="1329" spans="1:10" ht="14.1" customHeight="1" x14ac:dyDescent="0.25">
      <c r="E1329" s="38" t="s">
        <v>48</v>
      </c>
      <c r="F1329" s="39">
        <f ca="1">SUM(Table70[MONTO TOTAL ESTIMADO])</f>
        <v>1000000</v>
      </c>
      <c r="H1329" s="25" t="str">
        <f>C1321</f>
        <v>Servicios</v>
      </c>
      <c r="I1329" s="25" t="str">
        <f>E1321</f>
        <v>Sí</v>
      </c>
      <c r="J1329" s="25" t="str">
        <f>D1321</f>
        <v>Compras Menores</v>
      </c>
    </row>
    <row r="1330" spans="1:10" ht="14.1" customHeight="1" x14ac:dyDescent="0.25"/>
    <row r="1331" spans="1:10" ht="34.15" customHeight="1" thickBot="1" x14ac:dyDescent="0.3">
      <c r="A1331" s="24" t="s">
        <v>19</v>
      </c>
      <c r="B1331" s="24" t="s">
        <v>20</v>
      </c>
      <c r="C1331" s="24" t="s">
        <v>21</v>
      </c>
      <c r="D1331" s="24" t="s">
        <v>22</v>
      </c>
      <c r="E1331" s="24" t="s">
        <v>23</v>
      </c>
      <c r="F1331" s="24" t="s">
        <v>24</v>
      </c>
    </row>
    <row r="1332" spans="1:10" ht="14.1" customHeight="1" thickBot="1" x14ac:dyDescent="0.3">
      <c r="A1332" s="26" t="s">
        <v>271</v>
      </c>
      <c r="B1332" s="26" t="s">
        <v>271</v>
      </c>
      <c r="C1332" s="26" t="s">
        <v>64</v>
      </c>
      <c r="D1332" s="26" t="s">
        <v>28</v>
      </c>
      <c r="E1332" s="26" t="s">
        <v>54</v>
      </c>
      <c r="F1332" s="26"/>
    </row>
    <row r="1333" spans="1:10" ht="14.1" customHeight="1" thickBot="1" x14ac:dyDescent="0.3">
      <c r="A1333" s="43" t="s">
        <v>30</v>
      </c>
      <c r="B1333" s="27" t="s">
        <v>31</v>
      </c>
      <c r="C1333" s="28">
        <v>44576</v>
      </c>
      <c r="D1333" s="43" t="s">
        <v>32</v>
      </c>
      <c r="E1333" s="29" t="s">
        <v>33</v>
      </c>
      <c r="F1333" s="30" t="s">
        <v>34</v>
      </c>
    </row>
    <row r="1334" spans="1:10" ht="14.1" customHeight="1" thickBot="1" x14ac:dyDescent="0.3">
      <c r="A1334" s="44"/>
      <c r="B1334" s="27" t="s">
        <v>35</v>
      </c>
      <c r="C1334" s="31">
        <f>IF(C1333="","",IF(AND(MONTH(C1333)&gt;=1,MONTH(C1333)&lt;=3),1,IF(AND(MONTH(C1333)&gt;=4,MONTH(C1333)&lt;=6),2,IF(AND(MONTH(C1333)&gt;=7,MONTH(C1333)&lt;=9),3,4))))</f>
        <v>1</v>
      </c>
      <c r="D1334" s="44"/>
      <c r="E1334" s="29" t="s">
        <v>36</v>
      </c>
      <c r="F1334" s="30"/>
    </row>
    <row r="1335" spans="1:10" ht="14.1" customHeight="1" thickBot="1" x14ac:dyDescent="0.3">
      <c r="A1335" s="44"/>
      <c r="B1335" s="27" t="s">
        <v>37</v>
      </c>
      <c r="C1335" s="28">
        <v>44651</v>
      </c>
      <c r="D1335" s="44"/>
      <c r="E1335" s="29" t="s">
        <v>38</v>
      </c>
      <c r="F1335" s="30"/>
    </row>
    <row r="1336" spans="1:10" ht="14.1" customHeight="1" thickBot="1" x14ac:dyDescent="0.3">
      <c r="A1336" s="44"/>
      <c r="B1336" s="27" t="s">
        <v>35</v>
      </c>
      <c r="C1336" s="31">
        <f>IF(C1335="","",IF(AND(MONTH(C1335)&gt;=1,MONTH(C1335)&lt;=3),1,IF(AND(MONTH(C1335)&gt;=4,MONTH(C1335)&lt;=6),2,IF(AND(MONTH(C1335)&gt;=7,MONTH(C1335)&lt;=9),3,4))))</f>
        <v>1</v>
      </c>
      <c r="D1336" s="44"/>
      <c r="E1336" s="29" t="s">
        <v>39</v>
      </c>
      <c r="F1336" s="30"/>
    </row>
    <row r="1337" spans="1:10" ht="14.1" customHeight="1" x14ac:dyDescent="0.25"/>
    <row r="1338" spans="1:10" ht="14.1" customHeight="1" thickBot="1" x14ac:dyDescent="0.3">
      <c r="A1338" s="32" t="s">
        <v>40</v>
      </c>
      <c r="B1338" s="32" t="s">
        <v>41</v>
      </c>
      <c r="C1338" s="32" t="s">
        <v>42</v>
      </c>
      <c r="D1338" s="32" t="s">
        <v>43</v>
      </c>
      <c r="E1338" s="32" t="s">
        <v>44</v>
      </c>
      <c r="F1338" s="32" t="s">
        <v>45</v>
      </c>
    </row>
    <row r="1339" spans="1:10" ht="14.1" customHeight="1" x14ac:dyDescent="0.25">
      <c r="A1339" s="33" t="s">
        <v>272</v>
      </c>
      <c r="B1339" s="34" t="str">
        <f ca="1">IFERROR(INDEX(UNSPSCDes,MATCH(INDIRECT(ADDRESS(ROW(),COLUMN()-1,4)),UNSPSCCode,0)),IF(INDIRECT(ADDRESS(ROW(),COLUMN()-1,4))="86101705","Capacitación administrativa",""))</f>
        <v>Capacitación administrativa</v>
      </c>
      <c r="C1339" s="35" t="str">
        <f>IFERROR(VLOOKUP("UD",'[1]Informacion '!P:Q,2,FALSE),"")</f>
        <v>Unidad</v>
      </c>
      <c r="D1339" s="33">
        <v>1</v>
      </c>
      <c r="E1339" s="36">
        <v>250000</v>
      </c>
      <c r="F1339" s="37">
        <f ca="1">INDIRECT(ADDRESS(ROW(),COLUMN()-2,4))*INDIRECT(ADDRESS(ROW(),COLUMN()-1,4))</f>
        <v>250000</v>
      </c>
    </row>
    <row r="1340" spans="1:10" ht="14.1" customHeight="1" x14ac:dyDescent="0.25">
      <c r="E1340" s="38" t="s">
        <v>48</v>
      </c>
      <c r="F1340" s="39">
        <f ca="1">SUM(Table71[MONTO TOTAL ESTIMADO])</f>
        <v>250000</v>
      </c>
      <c r="H1340" s="25" t="str">
        <f>C1332</f>
        <v>Servicios</v>
      </c>
      <c r="I1340" s="25" t="str">
        <f>E1332</f>
        <v>Sí</v>
      </c>
      <c r="J1340" s="25" t="str">
        <f>D1332</f>
        <v>Compras Menores</v>
      </c>
    </row>
    <row r="1341" spans="1:10" ht="14.1" customHeight="1" x14ac:dyDescent="0.25"/>
    <row r="1342" spans="1:10" ht="34.15" customHeight="1" thickBot="1" x14ac:dyDescent="0.3">
      <c r="A1342" s="24" t="s">
        <v>19</v>
      </c>
      <c r="B1342" s="24" t="s">
        <v>20</v>
      </c>
      <c r="C1342" s="24" t="s">
        <v>21</v>
      </c>
      <c r="D1342" s="24" t="s">
        <v>22</v>
      </c>
      <c r="E1342" s="24" t="s">
        <v>23</v>
      </c>
      <c r="F1342" s="24" t="s">
        <v>24</v>
      </c>
    </row>
    <row r="1343" spans="1:10" ht="14.1" customHeight="1" thickBot="1" x14ac:dyDescent="0.3">
      <c r="A1343" s="26" t="s">
        <v>273</v>
      </c>
      <c r="B1343" s="26" t="s">
        <v>273</v>
      </c>
      <c r="C1343" s="26" t="s">
        <v>64</v>
      </c>
      <c r="D1343" s="26" t="s">
        <v>28</v>
      </c>
      <c r="E1343" s="26" t="s">
        <v>54</v>
      </c>
      <c r="F1343" s="26"/>
    </row>
    <row r="1344" spans="1:10" ht="14.1" customHeight="1" thickBot="1" x14ac:dyDescent="0.3">
      <c r="A1344" s="43" t="s">
        <v>30</v>
      </c>
      <c r="B1344" s="27" t="s">
        <v>31</v>
      </c>
      <c r="C1344" s="28">
        <v>44652</v>
      </c>
      <c r="D1344" s="43" t="s">
        <v>32</v>
      </c>
      <c r="E1344" s="29" t="s">
        <v>33</v>
      </c>
      <c r="F1344" s="30" t="s">
        <v>34</v>
      </c>
    </row>
    <row r="1345" spans="1:10" ht="14.1" customHeight="1" thickBot="1" x14ac:dyDescent="0.3">
      <c r="A1345" s="44"/>
      <c r="B1345" s="27" t="s">
        <v>35</v>
      </c>
      <c r="C1345" s="31">
        <f>IF(C1344="","",IF(AND(MONTH(C1344)&gt;=1,MONTH(C1344)&lt;=3),1,IF(AND(MONTH(C1344)&gt;=4,MONTH(C1344)&lt;=6),2,IF(AND(MONTH(C1344)&gt;=7,MONTH(C1344)&lt;=9),3,4))))</f>
        <v>2</v>
      </c>
      <c r="D1345" s="44"/>
      <c r="E1345" s="29" t="s">
        <v>36</v>
      </c>
      <c r="F1345" s="30"/>
    </row>
    <row r="1346" spans="1:10" ht="14.1" customHeight="1" thickBot="1" x14ac:dyDescent="0.3">
      <c r="A1346" s="44"/>
      <c r="B1346" s="27" t="s">
        <v>37</v>
      </c>
      <c r="C1346" s="28">
        <v>44742</v>
      </c>
      <c r="D1346" s="44"/>
      <c r="E1346" s="29" t="s">
        <v>38</v>
      </c>
      <c r="F1346" s="30"/>
    </row>
    <row r="1347" spans="1:10" ht="14.1" customHeight="1" thickBot="1" x14ac:dyDescent="0.3">
      <c r="A1347" s="44"/>
      <c r="B1347" s="27" t="s">
        <v>35</v>
      </c>
      <c r="C1347" s="31">
        <f>IF(C1346="","",IF(AND(MONTH(C1346)&gt;=1,MONTH(C1346)&lt;=3),1,IF(AND(MONTH(C1346)&gt;=4,MONTH(C1346)&lt;=6),2,IF(AND(MONTH(C1346)&gt;=7,MONTH(C1346)&lt;=9),3,4))))</f>
        <v>2</v>
      </c>
      <c r="D1347" s="44"/>
      <c r="E1347" s="29" t="s">
        <v>39</v>
      </c>
      <c r="F1347" s="30"/>
    </row>
    <row r="1348" spans="1:10" ht="14.1" customHeight="1" x14ac:dyDescent="0.25"/>
    <row r="1349" spans="1:10" ht="14.1" customHeight="1" thickBot="1" x14ac:dyDescent="0.3">
      <c r="A1349" s="32" t="s">
        <v>40</v>
      </c>
      <c r="B1349" s="32" t="s">
        <v>41</v>
      </c>
      <c r="C1349" s="32" t="s">
        <v>42</v>
      </c>
      <c r="D1349" s="32" t="s">
        <v>43</v>
      </c>
      <c r="E1349" s="32" t="s">
        <v>44</v>
      </c>
      <c r="F1349" s="32" t="s">
        <v>45</v>
      </c>
    </row>
    <row r="1350" spans="1:10" ht="14.1" customHeight="1" x14ac:dyDescent="0.25">
      <c r="A1350" s="33" t="s">
        <v>272</v>
      </c>
      <c r="B1350" s="34" t="str">
        <f ca="1">IFERROR(INDEX(UNSPSCDes,MATCH(INDIRECT(ADDRESS(ROW(),COLUMN()-1,4)),UNSPSCCode,0)),IF(INDIRECT(ADDRESS(ROW(),COLUMN()-1,4))="86101705","Capacitación administrativa",""))</f>
        <v>Capacitación administrativa</v>
      </c>
      <c r="C1350" s="35" t="str">
        <f>IFERROR(VLOOKUP("UD",'[1]Informacion '!P:Q,2,FALSE),"")</f>
        <v>Unidad</v>
      </c>
      <c r="D1350" s="33">
        <v>1</v>
      </c>
      <c r="E1350" s="36">
        <v>250000</v>
      </c>
      <c r="F1350" s="37">
        <f ca="1">INDIRECT(ADDRESS(ROW(),COLUMN()-2,4))*INDIRECT(ADDRESS(ROW(),COLUMN()-1,4))</f>
        <v>250000</v>
      </c>
    </row>
    <row r="1351" spans="1:10" ht="14.1" customHeight="1" x14ac:dyDescent="0.25">
      <c r="E1351" s="38" t="s">
        <v>48</v>
      </c>
      <c r="F1351" s="39">
        <f ca="1">SUM(Table72[MONTO TOTAL ESTIMADO])</f>
        <v>250000</v>
      </c>
      <c r="H1351" s="25" t="str">
        <f>C1343</f>
        <v>Servicios</v>
      </c>
      <c r="I1351" s="25" t="str">
        <f>E1343</f>
        <v>Sí</v>
      </c>
      <c r="J1351" s="25" t="str">
        <f>D1343</f>
        <v>Compras Menores</v>
      </c>
    </row>
    <row r="1352" spans="1:10" ht="14.1" customHeight="1" x14ac:dyDescent="0.25"/>
    <row r="1353" spans="1:10" ht="34.15" customHeight="1" thickBot="1" x14ac:dyDescent="0.3">
      <c r="A1353" s="24" t="s">
        <v>19</v>
      </c>
      <c r="B1353" s="24" t="s">
        <v>20</v>
      </c>
      <c r="C1353" s="24" t="s">
        <v>21</v>
      </c>
      <c r="D1353" s="24" t="s">
        <v>22</v>
      </c>
      <c r="E1353" s="24" t="s">
        <v>23</v>
      </c>
      <c r="F1353" s="24" t="s">
        <v>24</v>
      </c>
    </row>
    <row r="1354" spans="1:10" ht="14.1" customHeight="1" thickBot="1" x14ac:dyDescent="0.3">
      <c r="A1354" s="26" t="s">
        <v>273</v>
      </c>
      <c r="B1354" s="26" t="s">
        <v>273</v>
      </c>
      <c r="C1354" s="26" t="s">
        <v>64</v>
      </c>
      <c r="D1354" s="26" t="s">
        <v>28</v>
      </c>
      <c r="E1354" s="26" t="s">
        <v>54</v>
      </c>
      <c r="F1354" s="26"/>
    </row>
    <row r="1355" spans="1:10" ht="14.1" customHeight="1" thickBot="1" x14ac:dyDescent="0.3">
      <c r="A1355" s="43" t="s">
        <v>30</v>
      </c>
      <c r="B1355" s="27" t="s">
        <v>31</v>
      </c>
      <c r="C1355" s="28">
        <v>44773</v>
      </c>
      <c r="D1355" s="43" t="s">
        <v>32</v>
      </c>
      <c r="E1355" s="29" t="s">
        <v>33</v>
      </c>
      <c r="F1355" s="30" t="s">
        <v>34</v>
      </c>
    </row>
    <row r="1356" spans="1:10" ht="14.1" customHeight="1" thickBot="1" x14ac:dyDescent="0.3">
      <c r="A1356" s="44"/>
      <c r="B1356" s="27" t="s">
        <v>35</v>
      </c>
      <c r="C1356" s="31">
        <f>IF(C1355="","",IF(AND(MONTH(C1355)&gt;=1,MONTH(C1355)&lt;=3),1,IF(AND(MONTH(C1355)&gt;=4,MONTH(C1355)&lt;=6),2,IF(AND(MONTH(C1355)&gt;=7,MONTH(C1355)&lt;=9),3,4))))</f>
        <v>3</v>
      </c>
      <c r="D1356" s="44"/>
      <c r="E1356" s="29" t="s">
        <v>36</v>
      </c>
      <c r="F1356" s="30"/>
    </row>
    <row r="1357" spans="1:10" ht="14.1" customHeight="1" thickBot="1" x14ac:dyDescent="0.3">
      <c r="A1357" s="44"/>
      <c r="B1357" s="27" t="s">
        <v>37</v>
      </c>
      <c r="C1357" s="28">
        <v>44834</v>
      </c>
      <c r="D1357" s="44"/>
      <c r="E1357" s="29" t="s">
        <v>38</v>
      </c>
      <c r="F1357" s="30"/>
    </row>
    <row r="1358" spans="1:10" ht="14.1" customHeight="1" thickBot="1" x14ac:dyDescent="0.3">
      <c r="A1358" s="44"/>
      <c r="B1358" s="27" t="s">
        <v>35</v>
      </c>
      <c r="C1358" s="31">
        <f>IF(C1357="","",IF(AND(MONTH(C1357)&gt;=1,MONTH(C1357)&lt;=3),1,IF(AND(MONTH(C1357)&gt;=4,MONTH(C1357)&lt;=6),2,IF(AND(MONTH(C1357)&gt;=7,MONTH(C1357)&lt;=9),3,4))))</f>
        <v>3</v>
      </c>
      <c r="D1358" s="44"/>
      <c r="E1358" s="29" t="s">
        <v>39</v>
      </c>
      <c r="F1358" s="30"/>
    </row>
    <row r="1359" spans="1:10" ht="14.1" customHeight="1" x14ac:dyDescent="0.25"/>
    <row r="1360" spans="1:10" ht="14.1" customHeight="1" thickBot="1" x14ac:dyDescent="0.3">
      <c r="A1360" s="32" t="s">
        <v>40</v>
      </c>
      <c r="B1360" s="32" t="s">
        <v>41</v>
      </c>
      <c r="C1360" s="32" t="s">
        <v>42</v>
      </c>
      <c r="D1360" s="32" t="s">
        <v>43</v>
      </c>
      <c r="E1360" s="32" t="s">
        <v>44</v>
      </c>
      <c r="F1360" s="32" t="s">
        <v>45</v>
      </c>
    </row>
    <row r="1361" spans="1:10" ht="14.1" customHeight="1" x14ac:dyDescent="0.25">
      <c r="A1361" s="33" t="s">
        <v>272</v>
      </c>
      <c r="B1361" s="34" t="str">
        <f ca="1">IFERROR(INDEX(UNSPSCDes,MATCH(INDIRECT(ADDRESS(ROW(),COLUMN()-1,4)),UNSPSCCode,0)),IF(INDIRECT(ADDRESS(ROW(),COLUMN()-1,4))="86101705","Capacitación administrativa",""))</f>
        <v>Capacitación administrativa</v>
      </c>
      <c r="C1361" s="35" t="str">
        <f>IFERROR(VLOOKUP("UD",'[1]Informacion '!P:Q,2,FALSE),"")</f>
        <v>Unidad</v>
      </c>
      <c r="D1361" s="33">
        <v>1</v>
      </c>
      <c r="E1361" s="36">
        <v>250000</v>
      </c>
      <c r="F1361" s="37">
        <f ca="1">INDIRECT(ADDRESS(ROW(),COLUMN()-2,4))*INDIRECT(ADDRESS(ROW(),COLUMN()-1,4))</f>
        <v>250000</v>
      </c>
    </row>
    <row r="1362" spans="1:10" ht="14.1" customHeight="1" x14ac:dyDescent="0.25">
      <c r="E1362" s="38" t="s">
        <v>48</v>
      </c>
      <c r="F1362" s="39">
        <f ca="1">SUM(Table73[MONTO TOTAL ESTIMADO])</f>
        <v>250000</v>
      </c>
      <c r="H1362" s="25" t="str">
        <f>C1354</f>
        <v>Servicios</v>
      </c>
      <c r="I1362" s="25" t="str">
        <f>E1354</f>
        <v>Sí</v>
      </c>
      <c r="J1362" s="25" t="str">
        <f>D1354</f>
        <v>Compras Menores</v>
      </c>
    </row>
    <row r="1363" spans="1:10" ht="14.1" customHeight="1" x14ac:dyDescent="0.25"/>
    <row r="1364" spans="1:10" ht="34.15" customHeight="1" thickBot="1" x14ac:dyDescent="0.3">
      <c r="A1364" s="24" t="s">
        <v>19</v>
      </c>
      <c r="B1364" s="24" t="s">
        <v>20</v>
      </c>
      <c r="C1364" s="24" t="s">
        <v>21</v>
      </c>
      <c r="D1364" s="24" t="s">
        <v>22</v>
      </c>
      <c r="E1364" s="24" t="s">
        <v>23</v>
      </c>
      <c r="F1364" s="24" t="s">
        <v>24</v>
      </c>
    </row>
    <row r="1365" spans="1:10" ht="14.1" customHeight="1" thickBot="1" x14ac:dyDescent="0.3">
      <c r="A1365" s="26" t="s">
        <v>273</v>
      </c>
      <c r="B1365" s="26" t="s">
        <v>273</v>
      </c>
      <c r="C1365" s="26" t="s">
        <v>64</v>
      </c>
      <c r="D1365" s="26" t="s">
        <v>28</v>
      </c>
      <c r="E1365" s="26" t="s">
        <v>54</v>
      </c>
      <c r="F1365" s="26"/>
    </row>
    <row r="1366" spans="1:10" ht="14.1" customHeight="1" thickBot="1" x14ac:dyDescent="0.3">
      <c r="A1366" s="43" t="s">
        <v>30</v>
      </c>
      <c r="B1366" s="27" t="s">
        <v>31</v>
      </c>
      <c r="C1366" s="28">
        <v>44835</v>
      </c>
      <c r="D1366" s="43" t="s">
        <v>32</v>
      </c>
      <c r="E1366" s="29" t="s">
        <v>33</v>
      </c>
      <c r="F1366" s="30" t="s">
        <v>34</v>
      </c>
    </row>
    <row r="1367" spans="1:10" ht="14.1" customHeight="1" thickBot="1" x14ac:dyDescent="0.3">
      <c r="A1367" s="44"/>
      <c r="B1367" s="27" t="s">
        <v>35</v>
      </c>
      <c r="C1367" s="31">
        <f>IF(C1366="","",IF(AND(MONTH(C1366)&gt;=1,MONTH(C1366)&lt;=3),1,IF(AND(MONTH(C1366)&gt;=4,MONTH(C1366)&lt;=6),2,IF(AND(MONTH(C1366)&gt;=7,MONTH(C1366)&lt;=9),3,4))))</f>
        <v>4</v>
      </c>
      <c r="D1367" s="44"/>
      <c r="E1367" s="29" t="s">
        <v>36</v>
      </c>
      <c r="F1367" s="30"/>
    </row>
    <row r="1368" spans="1:10" ht="14.1" customHeight="1" thickBot="1" x14ac:dyDescent="0.3">
      <c r="A1368" s="44"/>
      <c r="B1368" s="27" t="s">
        <v>37</v>
      </c>
      <c r="C1368" s="28">
        <v>44926</v>
      </c>
      <c r="D1368" s="44"/>
      <c r="E1368" s="29" t="s">
        <v>38</v>
      </c>
      <c r="F1368" s="30"/>
    </row>
    <row r="1369" spans="1:10" ht="14.1" customHeight="1" thickBot="1" x14ac:dyDescent="0.3">
      <c r="A1369" s="44"/>
      <c r="B1369" s="27" t="s">
        <v>35</v>
      </c>
      <c r="C1369" s="31">
        <f>IF(C1368="","",IF(AND(MONTH(C1368)&gt;=1,MONTH(C1368)&lt;=3),1,IF(AND(MONTH(C1368)&gt;=4,MONTH(C1368)&lt;=6),2,IF(AND(MONTH(C1368)&gt;=7,MONTH(C1368)&lt;=9),3,4))))</f>
        <v>4</v>
      </c>
      <c r="D1369" s="44"/>
      <c r="E1369" s="29" t="s">
        <v>39</v>
      </c>
      <c r="F1369" s="30"/>
    </row>
    <row r="1370" spans="1:10" ht="14.1" customHeight="1" x14ac:dyDescent="0.25"/>
    <row r="1371" spans="1:10" ht="14.1" customHeight="1" thickBot="1" x14ac:dyDescent="0.3">
      <c r="A1371" s="32" t="s">
        <v>40</v>
      </c>
      <c r="B1371" s="32" t="s">
        <v>41</v>
      </c>
      <c r="C1371" s="32" t="s">
        <v>42</v>
      </c>
      <c r="D1371" s="32" t="s">
        <v>43</v>
      </c>
      <c r="E1371" s="32" t="s">
        <v>44</v>
      </c>
      <c r="F1371" s="32" t="s">
        <v>45</v>
      </c>
    </row>
    <row r="1372" spans="1:10" ht="14.1" customHeight="1" x14ac:dyDescent="0.25">
      <c r="A1372" s="33" t="s">
        <v>272</v>
      </c>
      <c r="B1372" s="34" t="str">
        <f ca="1">IFERROR(INDEX(UNSPSCDes,MATCH(INDIRECT(ADDRESS(ROW(),COLUMN()-1,4)),UNSPSCCode,0)),IF(INDIRECT(ADDRESS(ROW(),COLUMN()-1,4))="86101705","Capacitación administrativa",""))</f>
        <v>Capacitación administrativa</v>
      </c>
      <c r="C1372" s="35" t="str">
        <f>IFERROR(VLOOKUP("UD",'[1]Informacion '!P:Q,2,FALSE),"")</f>
        <v>Unidad</v>
      </c>
      <c r="D1372" s="33">
        <v>1</v>
      </c>
      <c r="E1372" s="36">
        <v>250000</v>
      </c>
      <c r="F1372" s="37">
        <f ca="1">INDIRECT(ADDRESS(ROW(),COLUMN()-2,4))*INDIRECT(ADDRESS(ROW(),COLUMN()-1,4))</f>
        <v>250000</v>
      </c>
    </row>
    <row r="1373" spans="1:10" ht="14.1" customHeight="1" x14ac:dyDescent="0.25">
      <c r="E1373" s="38" t="s">
        <v>48</v>
      </c>
      <c r="F1373" s="39">
        <f ca="1">SUM(Table74[MONTO TOTAL ESTIMADO])</f>
        <v>250000</v>
      </c>
      <c r="H1373" s="25" t="str">
        <f>C1365</f>
        <v>Servicios</v>
      </c>
      <c r="I1373" s="25" t="str">
        <f>E1365</f>
        <v>Sí</v>
      </c>
      <c r="J1373" s="25" t="str">
        <f>D1365</f>
        <v>Compras Menores</v>
      </c>
    </row>
    <row r="1374" spans="1:10" ht="14.1" customHeight="1" x14ac:dyDescent="0.25"/>
    <row r="1375" spans="1:10" ht="34.15" customHeight="1" thickBot="1" x14ac:dyDescent="0.3">
      <c r="A1375" s="24" t="s">
        <v>19</v>
      </c>
      <c r="B1375" s="24" t="s">
        <v>20</v>
      </c>
      <c r="C1375" s="24" t="s">
        <v>21</v>
      </c>
      <c r="D1375" s="24" t="s">
        <v>22</v>
      </c>
      <c r="E1375" s="24" t="s">
        <v>23</v>
      </c>
      <c r="F1375" s="24" t="s">
        <v>24</v>
      </c>
    </row>
    <row r="1376" spans="1:10" ht="14.1" customHeight="1" thickBot="1" x14ac:dyDescent="0.3">
      <c r="A1376" s="26" t="s">
        <v>274</v>
      </c>
      <c r="B1376" s="26" t="s">
        <v>274</v>
      </c>
      <c r="C1376" s="26" t="s">
        <v>64</v>
      </c>
      <c r="D1376" s="26" t="s">
        <v>28</v>
      </c>
      <c r="E1376" s="26" t="s">
        <v>54</v>
      </c>
      <c r="F1376" s="26"/>
    </row>
    <row r="1377" spans="1:10" ht="14.1" customHeight="1" thickBot="1" x14ac:dyDescent="0.3">
      <c r="A1377" s="43" t="s">
        <v>30</v>
      </c>
      <c r="B1377" s="27" t="s">
        <v>31</v>
      </c>
      <c r="C1377" s="28">
        <v>44743</v>
      </c>
      <c r="D1377" s="43" t="s">
        <v>32</v>
      </c>
      <c r="E1377" s="29" t="s">
        <v>33</v>
      </c>
      <c r="F1377" s="30" t="s">
        <v>34</v>
      </c>
    </row>
    <row r="1378" spans="1:10" ht="14.1" customHeight="1" thickBot="1" x14ac:dyDescent="0.3">
      <c r="A1378" s="44"/>
      <c r="B1378" s="27" t="s">
        <v>35</v>
      </c>
      <c r="C1378" s="31">
        <f>IF(C1377="","",IF(AND(MONTH(C1377)&gt;=1,MONTH(C1377)&lt;=3),1,IF(AND(MONTH(C1377)&gt;=4,MONTH(C1377)&lt;=6),2,IF(AND(MONTH(C1377)&gt;=7,MONTH(C1377)&lt;=9),3,4))))</f>
        <v>3</v>
      </c>
      <c r="D1378" s="44"/>
      <c r="E1378" s="29" t="s">
        <v>36</v>
      </c>
      <c r="F1378" s="30"/>
    </row>
    <row r="1379" spans="1:10" ht="14.1" customHeight="1" thickBot="1" x14ac:dyDescent="0.3">
      <c r="A1379" s="44"/>
      <c r="B1379" s="27" t="s">
        <v>37</v>
      </c>
      <c r="C1379" s="28">
        <v>44834</v>
      </c>
      <c r="D1379" s="44"/>
      <c r="E1379" s="29" t="s">
        <v>38</v>
      </c>
      <c r="F1379" s="30"/>
    </row>
    <row r="1380" spans="1:10" ht="14.1" customHeight="1" thickBot="1" x14ac:dyDescent="0.3">
      <c r="A1380" s="44"/>
      <c r="B1380" s="27" t="s">
        <v>35</v>
      </c>
      <c r="C1380" s="31">
        <f>IF(C1379="","",IF(AND(MONTH(C1379)&gt;=1,MONTH(C1379)&lt;=3),1,IF(AND(MONTH(C1379)&gt;=4,MONTH(C1379)&lt;=6),2,IF(AND(MONTH(C1379)&gt;=7,MONTH(C1379)&lt;=9),3,4))))</f>
        <v>3</v>
      </c>
      <c r="D1380" s="44"/>
      <c r="E1380" s="29" t="s">
        <v>39</v>
      </c>
      <c r="F1380" s="30"/>
    </row>
    <row r="1381" spans="1:10" ht="14.1" customHeight="1" x14ac:dyDescent="0.25"/>
    <row r="1382" spans="1:10" ht="14.1" customHeight="1" thickBot="1" x14ac:dyDescent="0.3">
      <c r="A1382" s="32" t="s">
        <v>40</v>
      </c>
      <c r="B1382" s="32" t="s">
        <v>41</v>
      </c>
      <c r="C1382" s="32" t="s">
        <v>42</v>
      </c>
      <c r="D1382" s="32" t="s">
        <v>43</v>
      </c>
      <c r="E1382" s="32" t="s">
        <v>44</v>
      </c>
      <c r="F1382" s="32" t="s">
        <v>45</v>
      </c>
    </row>
    <row r="1383" spans="1:10" ht="14.1" customHeight="1" x14ac:dyDescent="0.25">
      <c r="A1383" s="33" t="s">
        <v>275</v>
      </c>
      <c r="B1383" s="34" t="str">
        <f ca="1">IFERROR(INDEX(UNSPSCDes,MATCH(INDIRECT(ADDRESS(ROW(),COLUMN()-1,4)),UNSPSCCode,0)),IF(INDIRECT(ADDRESS(ROW(),COLUMN()-1,4))="80141607","Gestión de eventos",""))</f>
        <v>Gestión de eventos</v>
      </c>
      <c r="C1383" s="35" t="str">
        <f>IFERROR(VLOOKUP("UD",'[1]Informacion '!P:Q,2,FALSE),"")</f>
        <v>Unidad</v>
      </c>
      <c r="D1383" s="33">
        <v>1</v>
      </c>
      <c r="E1383" s="36">
        <v>1000000</v>
      </c>
      <c r="F1383" s="37">
        <f ca="1">INDIRECT(ADDRESS(ROW(),COLUMN()-2,4))*INDIRECT(ADDRESS(ROW(),COLUMN()-1,4))</f>
        <v>1000000</v>
      </c>
    </row>
    <row r="1384" spans="1:10" ht="14.1" customHeight="1" x14ac:dyDescent="0.25">
      <c r="A1384" s="33" t="s">
        <v>275</v>
      </c>
      <c r="B1384" s="34" t="str">
        <f ca="1">IFERROR(INDEX(UNSPSCDes,MATCH(INDIRECT(ADDRESS(ROW(),COLUMN()-1,4)),UNSPSCCode,0)),IF(INDIRECT(ADDRESS(ROW(),COLUMN()-1,4))="80141607","Gestión de eventos",""))</f>
        <v>Gestión de eventos</v>
      </c>
      <c r="C1384" s="35" t="str">
        <f>IFERROR(VLOOKUP("UD",'[1]Informacion '!P:Q,2,FALSE),"")</f>
        <v>Unidad</v>
      </c>
      <c r="D1384" s="33">
        <v>1</v>
      </c>
      <c r="E1384" s="36">
        <v>200000</v>
      </c>
      <c r="F1384" s="37">
        <f ca="1">INDIRECT(ADDRESS(ROW(),COLUMN()-2,4))*INDIRECT(ADDRESS(ROW(),COLUMN()-1,4))</f>
        <v>200000</v>
      </c>
    </row>
    <row r="1385" spans="1:10" ht="14.1" customHeight="1" x14ac:dyDescent="0.25">
      <c r="E1385" s="38" t="s">
        <v>48</v>
      </c>
      <c r="F1385" s="39">
        <f ca="1">SUM(Table75[MONTO TOTAL ESTIMADO])</f>
        <v>1200000</v>
      </c>
      <c r="H1385" s="25" t="str">
        <f>C1376</f>
        <v>Servicios</v>
      </c>
      <c r="I1385" s="25" t="str">
        <f>E1376</f>
        <v>Sí</v>
      </c>
      <c r="J1385" s="25" t="str">
        <f>D1376</f>
        <v>Compras Menores</v>
      </c>
    </row>
    <row r="1386" spans="1:10" ht="14.1" customHeight="1" x14ac:dyDescent="0.25"/>
    <row r="1387" spans="1:10" ht="34.15" customHeight="1" thickBot="1" x14ac:dyDescent="0.3">
      <c r="A1387" s="24" t="s">
        <v>19</v>
      </c>
      <c r="B1387" s="24" t="s">
        <v>20</v>
      </c>
      <c r="C1387" s="24" t="s">
        <v>21</v>
      </c>
      <c r="D1387" s="24" t="s">
        <v>22</v>
      </c>
      <c r="E1387" s="24" t="s">
        <v>23</v>
      </c>
      <c r="F1387" s="24" t="s">
        <v>24</v>
      </c>
    </row>
    <row r="1388" spans="1:10" ht="14.1" customHeight="1" thickBot="1" x14ac:dyDescent="0.3">
      <c r="A1388" s="26" t="s">
        <v>276</v>
      </c>
      <c r="B1388" s="26" t="s">
        <v>276</v>
      </c>
      <c r="C1388" s="26" t="s">
        <v>64</v>
      </c>
      <c r="D1388" s="26" t="s">
        <v>28</v>
      </c>
      <c r="E1388" s="26" t="s">
        <v>54</v>
      </c>
      <c r="F1388" s="26"/>
    </row>
    <row r="1389" spans="1:10" ht="14.1" customHeight="1" thickBot="1" x14ac:dyDescent="0.3">
      <c r="A1389" s="43" t="s">
        <v>30</v>
      </c>
      <c r="B1389" s="27" t="s">
        <v>31</v>
      </c>
      <c r="C1389" s="28">
        <v>44835</v>
      </c>
      <c r="D1389" s="43" t="s">
        <v>32</v>
      </c>
      <c r="E1389" s="29" t="s">
        <v>33</v>
      </c>
      <c r="F1389" s="30" t="s">
        <v>34</v>
      </c>
    </row>
    <row r="1390" spans="1:10" ht="14.1" customHeight="1" thickBot="1" x14ac:dyDescent="0.3">
      <c r="A1390" s="44"/>
      <c r="B1390" s="27" t="s">
        <v>35</v>
      </c>
      <c r="C1390" s="31">
        <f>IF(C1389="","",IF(AND(MONTH(C1389)&gt;=1,MONTH(C1389)&lt;=3),1,IF(AND(MONTH(C1389)&gt;=4,MONTH(C1389)&lt;=6),2,IF(AND(MONTH(C1389)&gt;=7,MONTH(C1389)&lt;=9),3,4))))</f>
        <v>4</v>
      </c>
      <c r="D1390" s="44"/>
      <c r="E1390" s="29" t="s">
        <v>36</v>
      </c>
      <c r="F1390" s="30"/>
    </row>
    <row r="1391" spans="1:10" ht="14.1" customHeight="1" thickBot="1" x14ac:dyDescent="0.3">
      <c r="A1391" s="44"/>
      <c r="B1391" s="27" t="s">
        <v>37</v>
      </c>
      <c r="C1391" s="28">
        <v>44926</v>
      </c>
      <c r="D1391" s="44"/>
      <c r="E1391" s="29" t="s">
        <v>38</v>
      </c>
      <c r="F1391" s="30"/>
    </row>
    <row r="1392" spans="1:10" ht="14.1" customHeight="1" thickBot="1" x14ac:dyDescent="0.3">
      <c r="A1392" s="44"/>
      <c r="B1392" s="27" t="s">
        <v>35</v>
      </c>
      <c r="C1392" s="31">
        <f>IF(C1391="","",IF(AND(MONTH(C1391)&gt;=1,MONTH(C1391)&lt;=3),1,IF(AND(MONTH(C1391)&gt;=4,MONTH(C1391)&lt;=6),2,IF(AND(MONTH(C1391)&gt;=7,MONTH(C1391)&lt;=9),3,4))))</f>
        <v>4</v>
      </c>
      <c r="D1392" s="44"/>
      <c r="E1392" s="29" t="s">
        <v>39</v>
      </c>
      <c r="F1392" s="30"/>
    </row>
    <row r="1393" spans="1:10" ht="14.1" customHeight="1" x14ac:dyDescent="0.25"/>
    <row r="1394" spans="1:10" ht="14.1" customHeight="1" thickBot="1" x14ac:dyDescent="0.3">
      <c r="A1394" s="32" t="s">
        <v>40</v>
      </c>
      <c r="B1394" s="32" t="s">
        <v>41</v>
      </c>
      <c r="C1394" s="32" t="s">
        <v>42</v>
      </c>
      <c r="D1394" s="32" t="s">
        <v>43</v>
      </c>
      <c r="E1394" s="32" t="s">
        <v>44</v>
      </c>
      <c r="F1394" s="32" t="s">
        <v>45</v>
      </c>
    </row>
    <row r="1395" spans="1:10" ht="14.1" customHeight="1" x14ac:dyDescent="0.25">
      <c r="A1395" s="33" t="s">
        <v>275</v>
      </c>
      <c r="B1395" s="34" t="str">
        <f ca="1">IFERROR(INDEX(UNSPSCDes,MATCH(INDIRECT(ADDRESS(ROW(),COLUMN()-1,4)),UNSPSCCode,0)),IF(INDIRECT(ADDRESS(ROW(),COLUMN()-1,4))="80141607","Gestión de eventos",""))</f>
        <v>Gestión de eventos</v>
      </c>
      <c r="C1395" s="35" t="str">
        <f>IFERROR(VLOOKUP("UD",'[1]Informacion '!P:Q,2,FALSE),"")</f>
        <v>Unidad</v>
      </c>
      <c r="D1395" s="33">
        <v>1</v>
      </c>
      <c r="E1395" s="36">
        <v>700000</v>
      </c>
      <c r="F1395" s="37">
        <f ca="1">INDIRECT(ADDRESS(ROW(),COLUMN()-2,4))*INDIRECT(ADDRESS(ROW(),COLUMN()-1,4))</f>
        <v>700000</v>
      </c>
    </row>
    <row r="1396" spans="1:10" ht="14.1" customHeight="1" x14ac:dyDescent="0.25">
      <c r="E1396" s="38" t="s">
        <v>48</v>
      </c>
      <c r="F1396" s="39">
        <f ca="1">SUM(Table76[MONTO TOTAL ESTIMADO])</f>
        <v>700000</v>
      </c>
      <c r="H1396" s="25" t="str">
        <f>C1388</f>
        <v>Servicios</v>
      </c>
      <c r="I1396" s="25" t="str">
        <f>E1388</f>
        <v>Sí</v>
      </c>
      <c r="J1396" s="25" t="str">
        <f>D1388</f>
        <v>Compras Menores</v>
      </c>
    </row>
    <row r="1397" spans="1:10" ht="14.1" customHeight="1" x14ac:dyDescent="0.25"/>
    <row r="1398" spans="1:10" ht="34.15" customHeight="1" thickBot="1" x14ac:dyDescent="0.3">
      <c r="A1398" s="24" t="s">
        <v>19</v>
      </c>
      <c r="B1398" s="24" t="s">
        <v>20</v>
      </c>
      <c r="C1398" s="24" t="s">
        <v>21</v>
      </c>
      <c r="D1398" s="24" t="s">
        <v>22</v>
      </c>
      <c r="E1398" s="24" t="s">
        <v>23</v>
      </c>
      <c r="F1398" s="24" t="s">
        <v>24</v>
      </c>
    </row>
    <row r="1399" spans="1:10" ht="14.1" customHeight="1" thickBot="1" x14ac:dyDescent="0.3">
      <c r="A1399" s="26" t="s">
        <v>277</v>
      </c>
      <c r="B1399" s="26" t="s">
        <v>277</v>
      </c>
      <c r="C1399" s="26" t="s">
        <v>27</v>
      </c>
      <c r="D1399" s="26" t="s">
        <v>28</v>
      </c>
      <c r="E1399" s="26" t="s">
        <v>29</v>
      </c>
      <c r="F1399" s="26"/>
    </row>
    <row r="1400" spans="1:10" ht="14.1" customHeight="1" thickBot="1" x14ac:dyDescent="0.3">
      <c r="A1400" s="43" t="s">
        <v>30</v>
      </c>
      <c r="B1400" s="27" t="s">
        <v>31</v>
      </c>
      <c r="C1400" s="28">
        <v>44576</v>
      </c>
      <c r="D1400" s="43" t="s">
        <v>32</v>
      </c>
      <c r="E1400" s="29" t="s">
        <v>33</v>
      </c>
      <c r="F1400" s="30" t="s">
        <v>34</v>
      </c>
    </row>
    <row r="1401" spans="1:10" ht="14.1" customHeight="1" thickBot="1" x14ac:dyDescent="0.3">
      <c r="A1401" s="44"/>
      <c r="B1401" s="27" t="s">
        <v>35</v>
      </c>
      <c r="C1401" s="31">
        <f>IF(C1400="","",IF(AND(MONTH(C1400)&gt;=1,MONTH(C1400)&lt;=3),1,IF(AND(MONTH(C1400)&gt;=4,MONTH(C1400)&lt;=6),2,IF(AND(MONTH(C1400)&gt;=7,MONTH(C1400)&lt;=9),3,4))))</f>
        <v>1</v>
      </c>
      <c r="D1401" s="44"/>
      <c r="E1401" s="29" t="s">
        <v>36</v>
      </c>
      <c r="F1401" s="30"/>
    </row>
    <row r="1402" spans="1:10" ht="14.1" customHeight="1" thickBot="1" x14ac:dyDescent="0.3">
      <c r="A1402" s="44"/>
      <c r="B1402" s="27" t="s">
        <v>37</v>
      </c>
      <c r="C1402" s="28">
        <v>44651</v>
      </c>
      <c r="D1402" s="44"/>
      <c r="E1402" s="29" t="s">
        <v>38</v>
      </c>
      <c r="F1402" s="30"/>
    </row>
    <row r="1403" spans="1:10" ht="14.1" customHeight="1" thickBot="1" x14ac:dyDescent="0.3">
      <c r="A1403" s="44"/>
      <c r="B1403" s="27" t="s">
        <v>35</v>
      </c>
      <c r="C1403" s="31">
        <f>IF(C1402="","",IF(AND(MONTH(C1402)&gt;=1,MONTH(C1402)&lt;=3),1,IF(AND(MONTH(C1402)&gt;=4,MONTH(C1402)&lt;=6),2,IF(AND(MONTH(C1402)&gt;=7,MONTH(C1402)&lt;=9),3,4))))</f>
        <v>1</v>
      </c>
      <c r="D1403" s="44"/>
      <c r="E1403" s="29" t="s">
        <v>39</v>
      </c>
      <c r="F1403" s="30"/>
    </row>
    <row r="1404" spans="1:10" ht="14.1" customHeight="1" x14ac:dyDescent="0.25"/>
    <row r="1405" spans="1:10" ht="14.1" customHeight="1" thickBot="1" x14ac:dyDescent="0.3">
      <c r="A1405" s="32" t="s">
        <v>40</v>
      </c>
      <c r="B1405" s="32" t="s">
        <v>41</v>
      </c>
      <c r="C1405" s="32" t="s">
        <v>42</v>
      </c>
      <c r="D1405" s="32" t="s">
        <v>43</v>
      </c>
      <c r="E1405" s="32" t="s">
        <v>44</v>
      </c>
      <c r="F1405" s="32" t="s">
        <v>45</v>
      </c>
    </row>
    <row r="1406" spans="1:10" ht="14.1" customHeight="1" x14ac:dyDescent="0.25">
      <c r="A1406" s="33" t="s">
        <v>278</v>
      </c>
      <c r="B1406" s="34" t="str">
        <f ca="1">IFERROR(INDEX(UNSPSCDes,MATCH(INDIRECT(ADDRESS(ROW(),COLUMN()-1,4)),UNSPSCCode,0)),IF(INDIRECT(ADDRESS(ROW(),COLUMN()-1,4))="52141501","Neveras para uso doméstico",""))</f>
        <v>Neveras para uso doméstico</v>
      </c>
      <c r="C1406" s="35" t="str">
        <f>IFERROR(VLOOKUP("UD",'[1]Informacion '!P:Q,2,FALSE),"")</f>
        <v>Unidad</v>
      </c>
      <c r="D1406" s="33">
        <v>2</v>
      </c>
      <c r="E1406" s="36">
        <v>40000</v>
      </c>
      <c r="F1406" s="37">
        <f ca="1">INDIRECT(ADDRESS(ROW(),COLUMN()-2,4))*INDIRECT(ADDRESS(ROW(),COLUMN()-1,4))</f>
        <v>80000</v>
      </c>
    </row>
    <row r="1407" spans="1:10" ht="14.1" customHeight="1" x14ac:dyDescent="0.25">
      <c r="A1407" s="33" t="s">
        <v>279</v>
      </c>
      <c r="B1407" s="34" t="str">
        <f ca="1">IFERROR(INDEX(UNSPSCDes,MATCH(INDIRECT(ADDRESS(ROW(),COLUMN()-1,4)),UNSPSCCode,0)),IF(INDIRECT(ADDRESS(ROW(),COLUMN()-1,4))="52141502","Hornos microondas para uso doméstico",""))</f>
        <v>Hornos microondas para uso doméstico</v>
      </c>
      <c r="C1407" s="35" t="str">
        <f>IFERROR(VLOOKUP("UD",'[1]Informacion '!P:Q,2,FALSE),"")</f>
        <v>Unidad</v>
      </c>
      <c r="D1407" s="33">
        <v>1</v>
      </c>
      <c r="E1407" s="36">
        <v>17000</v>
      </c>
      <c r="F1407" s="37">
        <f ca="1">INDIRECT(ADDRESS(ROW(),COLUMN()-2,4))*INDIRECT(ADDRESS(ROW(),COLUMN()-1,4))</f>
        <v>17000</v>
      </c>
    </row>
    <row r="1408" spans="1:10" ht="14.1" customHeight="1" x14ac:dyDescent="0.25">
      <c r="A1408" s="33" t="s">
        <v>278</v>
      </c>
      <c r="B1408" s="34" t="str">
        <f ca="1">IFERROR(INDEX(UNSPSCDes,MATCH(INDIRECT(ADDRESS(ROW(),COLUMN()-1,4)),UNSPSCCode,0)),IF(INDIRECT(ADDRESS(ROW(),COLUMN()-1,4))="52141501","Neveras para uso doméstico",""))</f>
        <v>Neveras para uso doméstico</v>
      </c>
      <c r="C1408" s="35" t="str">
        <f>IFERROR(VLOOKUP("UD",'[1]Informacion '!P:Q,2,FALSE),"")</f>
        <v>Unidad</v>
      </c>
      <c r="D1408" s="33">
        <v>2</v>
      </c>
      <c r="E1408" s="36">
        <v>12000</v>
      </c>
      <c r="F1408" s="37">
        <f ca="1">INDIRECT(ADDRESS(ROW(),COLUMN()-2,4))*INDIRECT(ADDRESS(ROW(),COLUMN()-1,4))</f>
        <v>24000</v>
      </c>
    </row>
    <row r="1409" spans="1:10" ht="14.1" customHeight="1" x14ac:dyDescent="0.25">
      <c r="E1409" s="38" t="s">
        <v>48</v>
      </c>
      <c r="F1409" s="39">
        <f ca="1">SUM(Table77[MONTO TOTAL ESTIMADO])</f>
        <v>121000</v>
      </c>
      <c r="H1409" s="25" t="str">
        <f>C1399</f>
        <v>Bienes</v>
      </c>
      <c r="I1409" s="25" t="str">
        <f>E1399</f>
        <v>No</v>
      </c>
      <c r="J1409" s="25" t="str">
        <f>D1399</f>
        <v>Compras Menores</v>
      </c>
    </row>
    <row r="1410" spans="1:10" ht="14.1" customHeight="1" x14ac:dyDescent="0.25"/>
    <row r="1411" spans="1:10" ht="34.15" customHeight="1" thickBot="1" x14ac:dyDescent="0.3">
      <c r="A1411" s="24" t="s">
        <v>19</v>
      </c>
      <c r="B1411" s="24" t="s">
        <v>20</v>
      </c>
      <c r="C1411" s="24" t="s">
        <v>21</v>
      </c>
      <c r="D1411" s="24" t="s">
        <v>22</v>
      </c>
      <c r="E1411" s="24" t="s">
        <v>23</v>
      </c>
      <c r="F1411" s="24" t="s">
        <v>24</v>
      </c>
    </row>
    <row r="1412" spans="1:10" ht="14.1" customHeight="1" thickBot="1" x14ac:dyDescent="0.3">
      <c r="A1412" s="26" t="s">
        <v>280</v>
      </c>
      <c r="B1412" s="26" t="s">
        <v>280</v>
      </c>
      <c r="C1412" s="26" t="s">
        <v>64</v>
      </c>
      <c r="D1412" s="26" t="s">
        <v>53</v>
      </c>
      <c r="E1412" s="26" t="s">
        <v>54</v>
      </c>
      <c r="F1412" s="26"/>
    </row>
    <row r="1413" spans="1:10" ht="14.1" customHeight="1" thickBot="1" x14ac:dyDescent="0.3">
      <c r="A1413" s="43" t="s">
        <v>30</v>
      </c>
      <c r="B1413" s="27" t="s">
        <v>31</v>
      </c>
      <c r="C1413" s="28">
        <v>44576</v>
      </c>
      <c r="D1413" s="43" t="s">
        <v>32</v>
      </c>
      <c r="E1413" s="29" t="s">
        <v>33</v>
      </c>
      <c r="F1413" s="30" t="s">
        <v>34</v>
      </c>
    </row>
    <row r="1414" spans="1:10" ht="14.1" customHeight="1" thickBot="1" x14ac:dyDescent="0.3">
      <c r="A1414" s="44"/>
      <c r="B1414" s="27" t="s">
        <v>35</v>
      </c>
      <c r="C1414" s="31">
        <f>IF(C1413="","",IF(AND(MONTH(C1413)&gt;=1,MONTH(C1413)&lt;=3),1,IF(AND(MONTH(C1413)&gt;=4,MONTH(C1413)&lt;=6),2,IF(AND(MONTH(C1413)&gt;=7,MONTH(C1413)&lt;=9),3,4))))</f>
        <v>1</v>
      </c>
      <c r="D1414" s="44"/>
      <c r="E1414" s="29" t="s">
        <v>36</v>
      </c>
      <c r="F1414" s="30"/>
    </row>
    <row r="1415" spans="1:10" ht="14.1" customHeight="1" thickBot="1" x14ac:dyDescent="0.3">
      <c r="A1415" s="44"/>
      <c r="B1415" s="27" t="s">
        <v>37</v>
      </c>
      <c r="C1415" s="28">
        <v>44651</v>
      </c>
      <c r="D1415" s="44"/>
      <c r="E1415" s="29" t="s">
        <v>38</v>
      </c>
      <c r="F1415" s="30"/>
    </row>
    <row r="1416" spans="1:10" ht="14.1" customHeight="1" thickBot="1" x14ac:dyDescent="0.3">
      <c r="A1416" s="44"/>
      <c r="B1416" s="27" t="s">
        <v>35</v>
      </c>
      <c r="C1416" s="31">
        <f>IF(C1415="","",IF(AND(MONTH(C1415)&gt;=1,MONTH(C1415)&lt;=3),1,IF(AND(MONTH(C1415)&gt;=4,MONTH(C1415)&lt;=6),2,IF(AND(MONTH(C1415)&gt;=7,MONTH(C1415)&lt;=9),3,4))))</f>
        <v>1</v>
      </c>
      <c r="D1416" s="44"/>
      <c r="E1416" s="29" t="s">
        <v>39</v>
      </c>
      <c r="F1416" s="30"/>
    </row>
    <row r="1417" spans="1:10" ht="14.1" customHeight="1" x14ac:dyDescent="0.25"/>
    <row r="1418" spans="1:10" ht="14.1" customHeight="1" thickBot="1" x14ac:dyDescent="0.3">
      <c r="A1418" s="32" t="s">
        <v>40</v>
      </c>
      <c r="B1418" s="32" t="s">
        <v>41</v>
      </c>
      <c r="C1418" s="32" t="s">
        <v>42</v>
      </c>
      <c r="D1418" s="32" t="s">
        <v>43</v>
      </c>
      <c r="E1418" s="32" t="s">
        <v>44</v>
      </c>
      <c r="F1418" s="32" t="s">
        <v>45</v>
      </c>
    </row>
    <row r="1419" spans="1:10" ht="14.1" customHeight="1" x14ac:dyDescent="0.25">
      <c r="A1419" s="33" t="s">
        <v>281</v>
      </c>
      <c r="B1419" s="34" t="str">
        <f ca="1">IFERROR(INDEX(UNSPSCDes,MATCH(INDIRECT(ADDRESS(ROW(),COLUMN()-1,4)),UNSPSCCode,0)),IF(INDIRECT(ADDRESS(ROW(),COLUMN()-1,4))="91111502","Servicios de lavandería",""))</f>
        <v>Servicios de lavandería</v>
      </c>
      <c r="C1419" s="35" t="str">
        <f>IFERROR(VLOOKUP("UD",'[1]Informacion '!P:Q,2,FALSE),"")</f>
        <v>Unidad</v>
      </c>
      <c r="D1419" s="33">
        <v>10</v>
      </c>
      <c r="E1419" s="36">
        <v>1200</v>
      </c>
      <c r="F1419" s="37">
        <f ca="1">INDIRECT(ADDRESS(ROW(),COLUMN()-2,4))*INDIRECT(ADDRESS(ROW(),COLUMN()-1,4))</f>
        <v>12000</v>
      </c>
    </row>
    <row r="1420" spans="1:10" ht="14.1" customHeight="1" x14ac:dyDescent="0.25">
      <c r="A1420" s="33" t="s">
        <v>281</v>
      </c>
      <c r="B1420" s="34" t="str">
        <f ca="1">IFERROR(INDEX(UNSPSCDes,MATCH(INDIRECT(ADDRESS(ROW(),COLUMN()-1,4)),UNSPSCCode,0)),IF(INDIRECT(ADDRESS(ROW(),COLUMN()-1,4))="91111502","Servicios de lavandería",""))</f>
        <v>Servicios de lavandería</v>
      </c>
      <c r="C1420" s="35" t="str">
        <f>IFERROR(VLOOKUP("UD",'[1]Informacion '!P:Q,2,FALSE),"")</f>
        <v>Unidad</v>
      </c>
      <c r="D1420" s="33">
        <v>10</v>
      </c>
      <c r="E1420" s="36">
        <v>1200</v>
      </c>
      <c r="F1420" s="37">
        <f ca="1">INDIRECT(ADDRESS(ROW(),COLUMN()-2,4))*INDIRECT(ADDRESS(ROW(),COLUMN()-1,4))</f>
        <v>12000</v>
      </c>
    </row>
    <row r="1421" spans="1:10" ht="14.1" customHeight="1" x14ac:dyDescent="0.25">
      <c r="A1421" s="33" t="s">
        <v>281</v>
      </c>
      <c r="B1421" s="34" t="str">
        <f ca="1">IFERROR(INDEX(UNSPSCDes,MATCH(INDIRECT(ADDRESS(ROW(),COLUMN()-1,4)),UNSPSCCode,0)),IF(INDIRECT(ADDRESS(ROW(),COLUMN()-1,4))="91111502","Servicios de lavandería",""))</f>
        <v>Servicios de lavandería</v>
      </c>
      <c r="C1421" s="35" t="str">
        <f>IFERROR(VLOOKUP("UD",'[1]Informacion '!P:Q,2,FALSE),"")</f>
        <v>Unidad</v>
      </c>
      <c r="D1421" s="33">
        <v>10</v>
      </c>
      <c r="E1421" s="36">
        <v>1200</v>
      </c>
      <c r="F1421" s="37">
        <f ca="1">INDIRECT(ADDRESS(ROW(),COLUMN()-2,4))*INDIRECT(ADDRESS(ROW(),COLUMN()-1,4))</f>
        <v>12000</v>
      </c>
    </row>
    <row r="1422" spans="1:10" ht="14.1" customHeight="1" x14ac:dyDescent="0.25">
      <c r="A1422" s="33" t="s">
        <v>281</v>
      </c>
      <c r="B1422" s="34" t="str">
        <f ca="1">IFERROR(INDEX(UNSPSCDes,MATCH(INDIRECT(ADDRESS(ROW(),COLUMN()-1,4)),UNSPSCCode,0)),IF(INDIRECT(ADDRESS(ROW(),COLUMN()-1,4))="91111502","Servicios de lavandería",""))</f>
        <v>Servicios de lavandería</v>
      </c>
      <c r="C1422" s="35" t="str">
        <f>IFERROR(VLOOKUP("UD",'[1]Informacion '!P:Q,2,FALSE),"")</f>
        <v>Unidad</v>
      </c>
      <c r="D1422" s="33">
        <v>10</v>
      </c>
      <c r="E1422" s="36">
        <v>50</v>
      </c>
      <c r="F1422" s="37">
        <f ca="1">INDIRECT(ADDRESS(ROW(),COLUMN()-2,4))*INDIRECT(ADDRESS(ROW(),COLUMN()-1,4))</f>
        <v>500</v>
      </c>
    </row>
    <row r="1423" spans="1:10" ht="14.1" customHeight="1" x14ac:dyDescent="0.25">
      <c r="A1423" s="33" t="s">
        <v>281</v>
      </c>
      <c r="B1423" s="34" t="str">
        <f ca="1">IFERROR(INDEX(UNSPSCDes,MATCH(INDIRECT(ADDRESS(ROW(),COLUMN()-1,4)),UNSPSCCode,0)),IF(INDIRECT(ADDRESS(ROW(),COLUMN()-1,4))="91111502","Servicios de lavandería",""))</f>
        <v>Servicios de lavandería</v>
      </c>
      <c r="C1423" s="35" t="str">
        <f>IFERROR(VLOOKUP("UD",'[1]Informacion '!P:Q,2,FALSE),"")</f>
        <v>Unidad</v>
      </c>
      <c r="D1423" s="33">
        <v>10</v>
      </c>
      <c r="E1423" s="36">
        <v>100</v>
      </c>
      <c r="F1423" s="37">
        <f ca="1">INDIRECT(ADDRESS(ROW(),COLUMN()-2,4))*INDIRECT(ADDRESS(ROW(),COLUMN()-1,4))</f>
        <v>1000</v>
      </c>
    </row>
    <row r="1424" spans="1:10" ht="14.1" customHeight="1" x14ac:dyDescent="0.25">
      <c r="E1424" s="38" t="s">
        <v>48</v>
      </c>
      <c r="F1424" s="39">
        <f ca="1">SUM(Table78[MONTO TOTAL ESTIMADO])</f>
        <v>37500</v>
      </c>
      <c r="H1424" s="25" t="str">
        <f>C1412</f>
        <v>Servicios</v>
      </c>
      <c r="I1424" s="25" t="str">
        <f>E1412</f>
        <v>Sí</v>
      </c>
      <c r="J1424" s="25" t="str">
        <f>D1412</f>
        <v>Compras por debajo del Umbral</v>
      </c>
    </row>
    <row r="1425" spans="1:10" ht="14.1" customHeight="1" x14ac:dyDescent="0.25"/>
    <row r="1426" spans="1:10" ht="34.15" customHeight="1" thickBot="1" x14ac:dyDescent="0.3">
      <c r="A1426" s="24" t="s">
        <v>19</v>
      </c>
      <c r="B1426" s="24" t="s">
        <v>20</v>
      </c>
      <c r="C1426" s="24" t="s">
        <v>21</v>
      </c>
      <c r="D1426" s="24" t="s">
        <v>22</v>
      </c>
      <c r="E1426" s="24" t="s">
        <v>23</v>
      </c>
      <c r="F1426" s="24" t="s">
        <v>24</v>
      </c>
    </row>
    <row r="1427" spans="1:10" ht="14.1" customHeight="1" thickBot="1" x14ac:dyDescent="0.3">
      <c r="A1427" s="26" t="s">
        <v>282</v>
      </c>
      <c r="B1427" s="26" t="s">
        <v>282</v>
      </c>
      <c r="C1427" s="26" t="s">
        <v>64</v>
      </c>
      <c r="D1427" s="26" t="s">
        <v>53</v>
      </c>
      <c r="E1427" s="26" t="s">
        <v>54</v>
      </c>
      <c r="F1427" s="26"/>
    </row>
    <row r="1428" spans="1:10" ht="14.1" customHeight="1" thickBot="1" x14ac:dyDescent="0.3">
      <c r="A1428" s="43" t="s">
        <v>30</v>
      </c>
      <c r="B1428" s="27" t="s">
        <v>31</v>
      </c>
      <c r="C1428" s="28">
        <v>44652</v>
      </c>
      <c r="D1428" s="43" t="s">
        <v>32</v>
      </c>
      <c r="E1428" s="29" t="s">
        <v>33</v>
      </c>
      <c r="F1428" s="30" t="s">
        <v>34</v>
      </c>
    </row>
    <row r="1429" spans="1:10" ht="14.1" customHeight="1" thickBot="1" x14ac:dyDescent="0.3">
      <c r="A1429" s="44"/>
      <c r="B1429" s="27" t="s">
        <v>35</v>
      </c>
      <c r="C1429" s="31">
        <f>IF(C1428="","",IF(AND(MONTH(C1428)&gt;=1,MONTH(C1428)&lt;=3),1,IF(AND(MONTH(C1428)&gt;=4,MONTH(C1428)&lt;=6),2,IF(AND(MONTH(C1428)&gt;=7,MONTH(C1428)&lt;=9),3,4))))</f>
        <v>2</v>
      </c>
      <c r="D1429" s="44"/>
      <c r="E1429" s="29" t="s">
        <v>36</v>
      </c>
      <c r="F1429" s="30"/>
    </row>
    <row r="1430" spans="1:10" ht="14.1" customHeight="1" thickBot="1" x14ac:dyDescent="0.3">
      <c r="A1430" s="44"/>
      <c r="B1430" s="27" t="s">
        <v>37</v>
      </c>
      <c r="C1430" s="28">
        <v>44742</v>
      </c>
      <c r="D1430" s="44"/>
      <c r="E1430" s="29" t="s">
        <v>38</v>
      </c>
      <c r="F1430" s="30"/>
    </row>
    <row r="1431" spans="1:10" ht="14.1" customHeight="1" thickBot="1" x14ac:dyDescent="0.3">
      <c r="A1431" s="44"/>
      <c r="B1431" s="27" t="s">
        <v>35</v>
      </c>
      <c r="C1431" s="31">
        <f>IF(C1430="","",IF(AND(MONTH(C1430)&gt;=1,MONTH(C1430)&lt;=3),1,IF(AND(MONTH(C1430)&gt;=4,MONTH(C1430)&lt;=6),2,IF(AND(MONTH(C1430)&gt;=7,MONTH(C1430)&lt;=9),3,4))))</f>
        <v>2</v>
      </c>
      <c r="D1431" s="44"/>
      <c r="E1431" s="29" t="s">
        <v>39</v>
      </c>
      <c r="F1431" s="30"/>
    </row>
    <row r="1432" spans="1:10" ht="14.1" customHeight="1" x14ac:dyDescent="0.25"/>
    <row r="1433" spans="1:10" ht="14.1" customHeight="1" thickBot="1" x14ac:dyDescent="0.3">
      <c r="A1433" s="32" t="s">
        <v>40</v>
      </c>
      <c r="B1433" s="32" t="s">
        <v>41</v>
      </c>
      <c r="C1433" s="32" t="s">
        <v>42</v>
      </c>
      <c r="D1433" s="32" t="s">
        <v>43</v>
      </c>
      <c r="E1433" s="32" t="s">
        <v>44</v>
      </c>
      <c r="F1433" s="32" t="s">
        <v>45</v>
      </c>
    </row>
    <row r="1434" spans="1:10" ht="14.1" customHeight="1" x14ac:dyDescent="0.25">
      <c r="A1434" s="33" t="s">
        <v>281</v>
      </c>
      <c r="B1434" s="34" t="str">
        <f ca="1">IFERROR(INDEX(UNSPSCDes,MATCH(INDIRECT(ADDRESS(ROW(),COLUMN()-1,4)),UNSPSCCode,0)),IF(INDIRECT(ADDRESS(ROW(),COLUMN()-1,4))="91111502","Servicios de lavandería",""))</f>
        <v>Servicios de lavandería</v>
      </c>
      <c r="C1434" s="35" t="str">
        <f>IFERROR(VLOOKUP("UD",'[1]Informacion '!P:Q,2,FALSE),"")</f>
        <v>Unidad</v>
      </c>
      <c r="D1434" s="33">
        <v>10</v>
      </c>
      <c r="E1434" s="36">
        <v>1200</v>
      </c>
      <c r="F1434" s="37">
        <f ca="1">INDIRECT(ADDRESS(ROW(),COLUMN()-2,4))*INDIRECT(ADDRESS(ROW(),COLUMN()-1,4))</f>
        <v>12000</v>
      </c>
    </row>
    <row r="1435" spans="1:10" ht="14.1" customHeight="1" x14ac:dyDescent="0.25">
      <c r="A1435" s="33" t="s">
        <v>281</v>
      </c>
      <c r="B1435" s="34" t="str">
        <f ca="1">IFERROR(INDEX(UNSPSCDes,MATCH(INDIRECT(ADDRESS(ROW(),COLUMN()-1,4)),UNSPSCCode,0)),IF(INDIRECT(ADDRESS(ROW(),COLUMN()-1,4))="91111502","Servicios de lavandería",""))</f>
        <v>Servicios de lavandería</v>
      </c>
      <c r="C1435" s="35" t="str">
        <f>IFERROR(VLOOKUP("UD",'[1]Informacion '!P:Q,2,FALSE),"")</f>
        <v>Unidad</v>
      </c>
      <c r="D1435" s="33">
        <v>10</v>
      </c>
      <c r="E1435" s="36">
        <v>1200</v>
      </c>
      <c r="F1435" s="37">
        <f ca="1">INDIRECT(ADDRESS(ROW(),COLUMN()-2,4))*INDIRECT(ADDRESS(ROW(),COLUMN()-1,4))</f>
        <v>12000</v>
      </c>
    </row>
    <row r="1436" spans="1:10" ht="14.1" customHeight="1" x14ac:dyDescent="0.25">
      <c r="A1436" s="33" t="s">
        <v>281</v>
      </c>
      <c r="B1436" s="34" t="str">
        <f ca="1">IFERROR(INDEX(UNSPSCDes,MATCH(INDIRECT(ADDRESS(ROW(),COLUMN()-1,4)),UNSPSCCode,0)),IF(INDIRECT(ADDRESS(ROW(),COLUMN()-1,4))="91111502","Servicios de lavandería",""))</f>
        <v>Servicios de lavandería</v>
      </c>
      <c r="C1436" s="35" t="str">
        <f>IFERROR(VLOOKUP("UD",'[1]Informacion '!P:Q,2,FALSE),"")</f>
        <v>Unidad</v>
      </c>
      <c r="D1436" s="33">
        <v>10</v>
      </c>
      <c r="E1436" s="36">
        <v>1200</v>
      </c>
      <c r="F1436" s="37">
        <f ca="1">INDIRECT(ADDRESS(ROW(),COLUMN()-2,4))*INDIRECT(ADDRESS(ROW(),COLUMN()-1,4))</f>
        <v>12000</v>
      </c>
    </row>
    <row r="1437" spans="1:10" ht="14.1" customHeight="1" x14ac:dyDescent="0.25">
      <c r="A1437" s="33" t="s">
        <v>281</v>
      </c>
      <c r="B1437" s="34" t="str">
        <f ca="1">IFERROR(INDEX(UNSPSCDes,MATCH(INDIRECT(ADDRESS(ROW(),COLUMN()-1,4)),UNSPSCCode,0)),IF(INDIRECT(ADDRESS(ROW(),COLUMN()-1,4))="91111502","Servicios de lavandería",""))</f>
        <v>Servicios de lavandería</v>
      </c>
      <c r="C1437" s="35" t="str">
        <f>IFERROR(VLOOKUP("UD",'[1]Informacion '!P:Q,2,FALSE),"")</f>
        <v>Unidad</v>
      </c>
      <c r="D1437" s="33">
        <v>10</v>
      </c>
      <c r="E1437" s="36">
        <v>50</v>
      </c>
      <c r="F1437" s="37">
        <f ca="1">INDIRECT(ADDRESS(ROW(),COLUMN()-2,4))*INDIRECT(ADDRESS(ROW(),COLUMN()-1,4))</f>
        <v>500</v>
      </c>
    </row>
    <row r="1438" spans="1:10" ht="14.1" customHeight="1" x14ac:dyDescent="0.25">
      <c r="A1438" s="33" t="s">
        <v>281</v>
      </c>
      <c r="B1438" s="34" t="str">
        <f ca="1">IFERROR(INDEX(UNSPSCDes,MATCH(INDIRECT(ADDRESS(ROW(),COLUMN()-1,4)),UNSPSCCode,0)),IF(INDIRECT(ADDRESS(ROW(),COLUMN()-1,4))="91111502","Servicios de lavandería",""))</f>
        <v>Servicios de lavandería</v>
      </c>
      <c r="C1438" s="35" t="str">
        <f>IFERROR(VLOOKUP("UD",'[1]Informacion '!P:Q,2,FALSE),"")</f>
        <v>Unidad</v>
      </c>
      <c r="D1438" s="33">
        <v>10</v>
      </c>
      <c r="E1438" s="36">
        <v>100</v>
      </c>
      <c r="F1438" s="37">
        <f ca="1">INDIRECT(ADDRESS(ROW(),COLUMN()-2,4))*INDIRECT(ADDRESS(ROW(),COLUMN()-1,4))</f>
        <v>1000</v>
      </c>
    </row>
    <row r="1439" spans="1:10" ht="14.1" customHeight="1" x14ac:dyDescent="0.25">
      <c r="E1439" s="38" t="s">
        <v>48</v>
      </c>
      <c r="F1439" s="39">
        <f ca="1">SUM(Table79[MONTO TOTAL ESTIMADO])</f>
        <v>37500</v>
      </c>
      <c r="H1439" s="25" t="str">
        <f>C1427</f>
        <v>Servicios</v>
      </c>
      <c r="I1439" s="25" t="str">
        <f>E1427</f>
        <v>Sí</v>
      </c>
      <c r="J1439" s="25" t="str">
        <f>D1427</f>
        <v>Compras por debajo del Umbral</v>
      </c>
    </row>
    <row r="1440" spans="1:10" ht="14.1" customHeight="1" x14ac:dyDescent="0.25"/>
    <row r="1441" spans="1:10" ht="34.15" customHeight="1" thickBot="1" x14ac:dyDescent="0.3">
      <c r="A1441" s="24" t="s">
        <v>19</v>
      </c>
      <c r="B1441" s="24" t="s">
        <v>20</v>
      </c>
      <c r="C1441" s="24" t="s">
        <v>21</v>
      </c>
      <c r="D1441" s="24" t="s">
        <v>22</v>
      </c>
      <c r="E1441" s="24" t="s">
        <v>23</v>
      </c>
      <c r="F1441" s="24" t="s">
        <v>24</v>
      </c>
    </row>
    <row r="1442" spans="1:10" ht="14.1" customHeight="1" thickBot="1" x14ac:dyDescent="0.3">
      <c r="A1442" s="26" t="s">
        <v>282</v>
      </c>
      <c r="B1442" s="26" t="s">
        <v>282</v>
      </c>
      <c r="C1442" s="26" t="s">
        <v>64</v>
      </c>
      <c r="D1442" s="26" t="s">
        <v>53</v>
      </c>
      <c r="E1442" s="26" t="s">
        <v>54</v>
      </c>
      <c r="F1442" s="26"/>
    </row>
    <row r="1443" spans="1:10" ht="14.1" customHeight="1" thickBot="1" x14ac:dyDescent="0.3">
      <c r="A1443" s="43" t="s">
        <v>30</v>
      </c>
      <c r="B1443" s="27" t="s">
        <v>31</v>
      </c>
      <c r="C1443" s="28">
        <v>44743</v>
      </c>
      <c r="D1443" s="43" t="s">
        <v>32</v>
      </c>
      <c r="E1443" s="29" t="s">
        <v>33</v>
      </c>
      <c r="F1443" s="30" t="s">
        <v>34</v>
      </c>
    </row>
    <row r="1444" spans="1:10" ht="14.1" customHeight="1" thickBot="1" x14ac:dyDescent="0.3">
      <c r="A1444" s="44"/>
      <c r="B1444" s="27" t="s">
        <v>35</v>
      </c>
      <c r="C1444" s="31">
        <f>IF(C1443="","",IF(AND(MONTH(C1443)&gt;=1,MONTH(C1443)&lt;=3),1,IF(AND(MONTH(C1443)&gt;=4,MONTH(C1443)&lt;=6),2,IF(AND(MONTH(C1443)&gt;=7,MONTH(C1443)&lt;=9),3,4))))</f>
        <v>3</v>
      </c>
      <c r="D1444" s="44"/>
      <c r="E1444" s="29" t="s">
        <v>36</v>
      </c>
      <c r="F1444" s="30"/>
    </row>
    <row r="1445" spans="1:10" ht="14.1" customHeight="1" thickBot="1" x14ac:dyDescent="0.3">
      <c r="A1445" s="44"/>
      <c r="B1445" s="27" t="s">
        <v>37</v>
      </c>
      <c r="C1445" s="28">
        <v>44834</v>
      </c>
      <c r="D1445" s="44"/>
      <c r="E1445" s="29" t="s">
        <v>38</v>
      </c>
      <c r="F1445" s="30"/>
    </row>
    <row r="1446" spans="1:10" ht="14.1" customHeight="1" thickBot="1" x14ac:dyDescent="0.3">
      <c r="A1446" s="44"/>
      <c r="B1446" s="27" t="s">
        <v>35</v>
      </c>
      <c r="C1446" s="31">
        <f>IF(C1445="","",IF(AND(MONTH(C1445)&gt;=1,MONTH(C1445)&lt;=3),1,IF(AND(MONTH(C1445)&gt;=4,MONTH(C1445)&lt;=6),2,IF(AND(MONTH(C1445)&gt;=7,MONTH(C1445)&lt;=9),3,4))))</f>
        <v>3</v>
      </c>
      <c r="D1446" s="44"/>
      <c r="E1446" s="29" t="s">
        <v>39</v>
      </c>
      <c r="F1446" s="30"/>
    </row>
    <row r="1447" spans="1:10" ht="14.1" customHeight="1" x14ac:dyDescent="0.25"/>
    <row r="1448" spans="1:10" ht="14.1" customHeight="1" thickBot="1" x14ac:dyDescent="0.3">
      <c r="A1448" s="32" t="s">
        <v>40</v>
      </c>
      <c r="B1448" s="32" t="s">
        <v>41</v>
      </c>
      <c r="C1448" s="32" t="s">
        <v>42</v>
      </c>
      <c r="D1448" s="32" t="s">
        <v>43</v>
      </c>
      <c r="E1448" s="32" t="s">
        <v>44</v>
      </c>
      <c r="F1448" s="32" t="s">
        <v>45</v>
      </c>
    </row>
    <row r="1449" spans="1:10" ht="14.1" customHeight="1" x14ac:dyDescent="0.25">
      <c r="A1449" s="33" t="s">
        <v>281</v>
      </c>
      <c r="B1449" s="34" t="str">
        <f ca="1">IFERROR(INDEX(UNSPSCDes,MATCH(INDIRECT(ADDRESS(ROW(),COLUMN()-1,4)),UNSPSCCode,0)),IF(INDIRECT(ADDRESS(ROW(),COLUMN()-1,4))="91111502","Servicios de lavandería",""))</f>
        <v>Servicios de lavandería</v>
      </c>
      <c r="C1449" s="35" t="str">
        <f>IFERROR(VLOOKUP("UD",'[1]Informacion '!P:Q,2,FALSE),"")</f>
        <v>Unidad</v>
      </c>
      <c r="D1449" s="33">
        <v>10</v>
      </c>
      <c r="E1449" s="36">
        <v>1200</v>
      </c>
      <c r="F1449" s="37">
        <f ca="1">INDIRECT(ADDRESS(ROW(),COLUMN()-2,4))*INDIRECT(ADDRESS(ROW(),COLUMN()-1,4))</f>
        <v>12000</v>
      </c>
    </row>
    <row r="1450" spans="1:10" ht="14.1" customHeight="1" x14ac:dyDescent="0.25">
      <c r="A1450" s="33" t="s">
        <v>281</v>
      </c>
      <c r="B1450" s="34" t="str">
        <f ca="1">IFERROR(INDEX(UNSPSCDes,MATCH(INDIRECT(ADDRESS(ROW(),COLUMN()-1,4)),UNSPSCCode,0)),IF(INDIRECT(ADDRESS(ROW(),COLUMN()-1,4))="91111502","Servicios de lavandería",""))</f>
        <v>Servicios de lavandería</v>
      </c>
      <c r="C1450" s="35" t="str">
        <f>IFERROR(VLOOKUP("UD",'[1]Informacion '!P:Q,2,FALSE),"")</f>
        <v>Unidad</v>
      </c>
      <c r="D1450" s="33">
        <v>10</v>
      </c>
      <c r="E1450" s="36">
        <v>1200</v>
      </c>
      <c r="F1450" s="37">
        <f ca="1">INDIRECT(ADDRESS(ROW(),COLUMN()-2,4))*INDIRECT(ADDRESS(ROW(),COLUMN()-1,4))</f>
        <v>12000</v>
      </c>
    </row>
    <row r="1451" spans="1:10" ht="14.1" customHeight="1" x14ac:dyDescent="0.25">
      <c r="A1451" s="33" t="s">
        <v>281</v>
      </c>
      <c r="B1451" s="34" t="str">
        <f ca="1">IFERROR(INDEX(UNSPSCDes,MATCH(INDIRECT(ADDRESS(ROW(),COLUMN()-1,4)),UNSPSCCode,0)),IF(INDIRECT(ADDRESS(ROW(),COLUMN()-1,4))="91111502","Servicios de lavandería",""))</f>
        <v>Servicios de lavandería</v>
      </c>
      <c r="C1451" s="35" t="str">
        <f>IFERROR(VLOOKUP("UD",'[1]Informacion '!P:Q,2,FALSE),"")</f>
        <v>Unidad</v>
      </c>
      <c r="D1451" s="33">
        <v>10</v>
      </c>
      <c r="E1451" s="36">
        <v>1200</v>
      </c>
      <c r="F1451" s="37">
        <f ca="1">INDIRECT(ADDRESS(ROW(),COLUMN()-2,4))*INDIRECT(ADDRESS(ROW(),COLUMN()-1,4))</f>
        <v>12000</v>
      </c>
    </row>
    <row r="1452" spans="1:10" ht="14.1" customHeight="1" x14ac:dyDescent="0.25">
      <c r="A1452" s="33" t="s">
        <v>281</v>
      </c>
      <c r="B1452" s="34" t="str">
        <f ca="1">IFERROR(INDEX(UNSPSCDes,MATCH(INDIRECT(ADDRESS(ROW(),COLUMN()-1,4)),UNSPSCCode,0)),IF(INDIRECT(ADDRESS(ROW(),COLUMN()-1,4))="91111502","Servicios de lavandería",""))</f>
        <v>Servicios de lavandería</v>
      </c>
      <c r="C1452" s="35" t="str">
        <f>IFERROR(VLOOKUP("UD",'[1]Informacion '!P:Q,2,FALSE),"")</f>
        <v>Unidad</v>
      </c>
      <c r="D1452" s="33">
        <v>10</v>
      </c>
      <c r="E1452" s="36">
        <v>50</v>
      </c>
      <c r="F1452" s="37">
        <f ca="1">INDIRECT(ADDRESS(ROW(),COLUMN()-2,4))*INDIRECT(ADDRESS(ROW(),COLUMN()-1,4))</f>
        <v>500</v>
      </c>
    </row>
    <row r="1453" spans="1:10" ht="14.1" customHeight="1" x14ac:dyDescent="0.25">
      <c r="A1453" s="33" t="s">
        <v>281</v>
      </c>
      <c r="B1453" s="34" t="str">
        <f ca="1">IFERROR(INDEX(UNSPSCDes,MATCH(INDIRECT(ADDRESS(ROW(),COLUMN()-1,4)),UNSPSCCode,0)),IF(INDIRECT(ADDRESS(ROW(),COLUMN()-1,4))="91111502","Servicios de lavandería",""))</f>
        <v>Servicios de lavandería</v>
      </c>
      <c r="C1453" s="35" t="str">
        <f>IFERROR(VLOOKUP("UD",'[1]Informacion '!P:Q,2,FALSE),"")</f>
        <v>Unidad</v>
      </c>
      <c r="D1453" s="33">
        <v>10</v>
      </c>
      <c r="E1453" s="36">
        <v>100</v>
      </c>
      <c r="F1453" s="37">
        <f ca="1">INDIRECT(ADDRESS(ROW(),COLUMN()-2,4))*INDIRECT(ADDRESS(ROW(),COLUMN()-1,4))</f>
        <v>1000</v>
      </c>
    </row>
    <row r="1454" spans="1:10" ht="14.1" customHeight="1" x14ac:dyDescent="0.25">
      <c r="E1454" s="38" t="s">
        <v>48</v>
      </c>
      <c r="F1454" s="39">
        <f ca="1">SUM(Table80[MONTO TOTAL ESTIMADO])</f>
        <v>37500</v>
      </c>
      <c r="H1454" s="25" t="str">
        <f>C1442</f>
        <v>Servicios</v>
      </c>
      <c r="I1454" s="25" t="str">
        <f>E1442</f>
        <v>Sí</v>
      </c>
      <c r="J1454" s="25" t="str">
        <f>D1442</f>
        <v>Compras por debajo del Umbral</v>
      </c>
    </row>
    <row r="1455" spans="1:10" ht="14.1" customHeight="1" x14ac:dyDescent="0.25"/>
    <row r="1456" spans="1:10" ht="34.15" customHeight="1" thickBot="1" x14ac:dyDescent="0.3">
      <c r="A1456" s="24" t="s">
        <v>19</v>
      </c>
      <c r="B1456" s="24" t="s">
        <v>20</v>
      </c>
      <c r="C1456" s="24" t="s">
        <v>21</v>
      </c>
      <c r="D1456" s="24" t="s">
        <v>22</v>
      </c>
      <c r="E1456" s="24" t="s">
        <v>23</v>
      </c>
      <c r="F1456" s="24" t="s">
        <v>24</v>
      </c>
    </row>
    <row r="1457" spans="1:10" ht="14.1" customHeight="1" thickBot="1" x14ac:dyDescent="0.3">
      <c r="A1457" s="26" t="s">
        <v>282</v>
      </c>
      <c r="B1457" s="26" t="s">
        <v>282</v>
      </c>
      <c r="C1457" s="26" t="s">
        <v>64</v>
      </c>
      <c r="D1457" s="26" t="s">
        <v>53</v>
      </c>
      <c r="E1457" s="26" t="s">
        <v>54</v>
      </c>
      <c r="F1457" s="26"/>
    </row>
    <row r="1458" spans="1:10" ht="14.1" customHeight="1" thickBot="1" x14ac:dyDescent="0.3">
      <c r="A1458" s="43" t="s">
        <v>30</v>
      </c>
      <c r="B1458" s="27" t="s">
        <v>31</v>
      </c>
      <c r="C1458" s="28">
        <v>44835</v>
      </c>
      <c r="D1458" s="43" t="s">
        <v>32</v>
      </c>
      <c r="E1458" s="29" t="s">
        <v>33</v>
      </c>
      <c r="F1458" s="30" t="s">
        <v>34</v>
      </c>
    </row>
    <row r="1459" spans="1:10" ht="14.1" customHeight="1" thickBot="1" x14ac:dyDescent="0.3">
      <c r="A1459" s="44"/>
      <c r="B1459" s="27" t="s">
        <v>35</v>
      </c>
      <c r="C1459" s="31">
        <f>IF(C1458="","",IF(AND(MONTH(C1458)&gt;=1,MONTH(C1458)&lt;=3),1,IF(AND(MONTH(C1458)&gt;=4,MONTH(C1458)&lt;=6),2,IF(AND(MONTH(C1458)&gt;=7,MONTH(C1458)&lt;=9),3,4))))</f>
        <v>4</v>
      </c>
      <c r="D1459" s="44"/>
      <c r="E1459" s="29" t="s">
        <v>36</v>
      </c>
      <c r="F1459" s="30"/>
    </row>
    <row r="1460" spans="1:10" ht="14.1" customHeight="1" thickBot="1" x14ac:dyDescent="0.3">
      <c r="A1460" s="44"/>
      <c r="B1460" s="27" t="s">
        <v>37</v>
      </c>
      <c r="C1460" s="28">
        <v>44926</v>
      </c>
      <c r="D1460" s="44"/>
      <c r="E1460" s="29" t="s">
        <v>38</v>
      </c>
      <c r="F1460" s="30"/>
    </row>
    <row r="1461" spans="1:10" ht="14.1" customHeight="1" thickBot="1" x14ac:dyDescent="0.3">
      <c r="A1461" s="44"/>
      <c r="B1461" s="27" t="s">
        <v>35</v>
      </c>
      <c r="C1461" s="31">
        <f>IF(C1460="","",IF(AND(MONTH(C1460)&gt;=1,MONTH(C1460)&lt;=3),1,IF(AND(MONTH(C1460)&gt;=4,MONTH(C1460)&lt;=6),2,IF(AND(MONTH(C1460)&gt;=7,MONTH(C1460)&lt;=9),3,4))))</f>
        <v>4</v>
      </c>
      <c r="D1461" s="44"/>
      <c r="E1461" s="29" t="s">
        <v>39</v>
      </c>
      <c r="F1461" s="30"/>
    </row>
    <row r="1462" spans="1:10" ht="14.1" customHeight="1" x14ac:dyDescent="0.25"/>
    <row r="1463" spans="1:10" ht="14.1" customHeight="1" thickBot="1" x14ac:dyDescent="0.3">
      <c r="A1463" s="32" t="s">
        <v>40</v>
      </c>
      <c r="B1463" s="32" t="s">
        <v>41</v>
      </c>
      <c r="C1463" s="32" t="s">
        <v>42</v>
      </c>
      <c r="D1463" s="32" t="s">
        <v>43</v>
      </c>
      <c r="E1463" s="32" t="s">
        <v>44</v>
      </c>
      <c r="F1463" s="32" t="s">
        <v>45</v>
      </c>
    </row>
    <row r="1464" spans="1:10" ht="14.1" customHeight="1" x14ac:dyDescent="0.25">
      <c r="A1464" s="33" t="s">
        <v>281</v>
      </c>
      <c r="B1464" s="34" t="str">
        <f ca="1">IFERROR(INDEX(UNSPSCDes,MATCH(INDIRECT(ADDRESS(ROW(),COLUMN()-1,4)),UNSPSCCode,0)),IF(INDIRECT(ADDRESS(ROW(),COLUMN()-1,4))="91111502","Servicios de lavandería",""))</f>
        <v>Servicios de lavandería</v>
      </c>
      <c r="C1464" s="35" t="str">
        <f>IFERROR(VLOOKUP("UD",'[1]Informacion '!P:Q,2,FALSE),"")</f>
        <v>Unidad</v>
      </c>
      <c r="D1464" s="33">
        <v>10</v>
      </c>
      <c r="E1464" s="36">
        <v>1200</v>
      </c>
      <c r="F1464" s="37">
        <f ca="1">INDIRECT(ADDRESS(ROW(),COLUMN()-2,4))*INDIRECT(ADDRESS(ROW(),COLUMN()-1,4))</f>
        <v>12000</v>
      </c>
    </row>
    <row r="1465" spans="1:10" ht="14.1" customHeight="1" x14ac:dyDescent="0.25">
      <c r="A1465" s="33" t="s">
        <v>281</v>
      </c>
      <c r="B1465" s="34" t="str">
        <f ca="1">IFERROR(INDEX(UNSPSCDes,MATCH(INDIRECT(ADDRESS(ROW(),COLUMN()-1,4)),UNSPSCCode,0)),IF(INDIRECT(ADDRESS(ROW(),COLUMN()-1,4))="91111502","Servicios de lavandería",""))</f>
        <v>Servicios de lavandería</v>
      </c>
      <c r="C1465" s="35" t="str">
        <f>IFERROR(VLOOKUP("UD",'[1]Informacion '!P:Q,2,FALSE),"")</f>
        <v>Unidad</v>
      </c>
      <c r="D1465" s="33">
        <v>10</v>
      </c>
      <c r="E1465" s="36">
        <v>1200</v>
      </c>
      <c r="F1465" s="37">
        <f ca="1">INDIRECT(ADDRESS(ROW(),COLUMN()-2,4))*INDIRECT(ADDRESS(ROW(),COLUMN()-1,4))</f>
        <v>12000</v>
      </c>
    </row>
    <row r="1466" spans="1:10" ht="14.1" customHeight="1" x14ac:dyDescent="0.25">
      <c r="A1466" s="33" t="s">
        <v>281</v>
      </c>
      <c r="B1466" s="34" t="str">
        <f ca="1">IFERROR(INDEX(UNSPSCDes,MATCH(INDIRECT(ADDRESS(ROW(),COLUMN()-1,4)),UNSPSCCode,0)),IF(INDIRECT(ADDRESS(ROW(),COLUMN()-1,4))="91111502","Servicios de lavandería",""))</f>
        <v>Servicios de lavandería</v>
      </c>
      <c r="C1466" s="35" t="str">
        <f>IFERROR(VLOOKUP("UD",'[1]Informacion '!P:Q,2,FALSE),"")</f>
        <v>Unidad</v>
      </c>
      <c r="D1466" s="33">
        <v>10</v>
      </c>
      <c r="E1466" s="36">
        <v>1200</v>
      </c>
      <c r="F1466" s="37">
        <f ca="1">INDIRECT(ADDRESS(ROW(),COLUMN()-2,4))*INDIRECT(ADDRESS(ROW(),COLUMN()-1,4))</f>
        <v>12000</v>
      </c>
    </row>
    <row r="1467" spans="1:10" ht="14.1" customHeight="1" x14ac:dyDescent="0.25">
      <c r="A1467" s="33" t="s">
        <v>281</v>
      </c>
      <c r="B1467" s="34" t="str">
        <f ca="1">IFERROR(INDEX(UNSPSCDes,MATCH(INDIRECT(ADDRESS(ROW(),COLUMN()-1,4)),UNSPSCCode,0)),IF(INDIRECT(ADDRESS(ROW(),COLUMN()-1,4))="91111502","Servicios de lavandería",""))</f>
        <v>Servicios de lavandería</v>
      </c>
      <c r="C1467" s="35" t="str">
        <f>IFERROR(VLOOKUP("UD",'[1]Informacion '!P:Q,2,FALSE),"")</f>
        <v>Unidad</v>
      </c>
      <c r="D1467" s="33">
        <v>10</v>
      </c>
      <c r="E1467" s="36">
        <v>50</v>
      </c>
      <c r="F1467" s="37">
        <f ca="1">INDIRECT(ADDRESS(ROW(),COLUMN()-2,4))*INDIRECT(ADDRESS(ROW(),COLUMN()-1,4))</f>
        <v>500</v>
      </c>
    </row>
    <row r="1468" spans="1:10" ht="14.1" customHeight="1" x14ac:dyDescent="0.25">
      <c r="A1468" s="33" t="s">
        <v>281</v>
      </c>
      <c r="B1468" s="34" t="str">
        <f ca="1">IFERROR(INDEX(UNSPSCDes,MATCH(INDIRECT(ADDRESS(ROW(),COLUMN()-1,4)),UNSPSCCode,0)),IF(INDIRECT(ADDRESS(ROW(),COLUMN()-1,4))="91111502","Servicios de lavandería",""))</f>
        <v>Servicios de lavandería</v>
      </c>
      <c r="C1468" s="35" t="str">
        <f>IFERROR(VLOOKUP("UD",'[1]Informacion '!P:Q,2,FALSE),"")</f>
        <v>Unidad</v>
      </c>
      <c r="D1468" s="33">
        <v>10</v>
      </c>
      <c r="E1468" s="36">
        <v>100</v>
      </c>
      <c r="F1468" s="37">
        <f ca="1">INDIRECT(ADDRESS(ROW(),COLUMN()-2,4))*INDIRECT(ADDRESS(ROW(),COLUMN()-1,4))</f>
        <v>1000</v>
      </c>
    </row>
    <row r="1469" spans="1:10" ht="14.1" customHeight="1" x14ac:dyDescent="0.25">
      <c r="E1469" s="38" t="s">
        <v>48</v>
      </c>
      <c r="F1469" s="39">
        <f ca="1">SUM(Table81[MONTO TOTAL ESTIMADO])</f>
        <v>37500</v>
      </c>
      <c r="H1469" s="25" t="str">
        <f>C1457</f>
        <v>Servicios</v>
      </c>
      <c r="I1469" s="25" t="str">
        <f>E1457</f>
        <v>Sí</v>
      </c>
      <c r="J1469" s="25" t="str">
        <f>D1457</f>
        <v>Compras por debajo del Umbral</v>
      </c>
    </row>
    <row r="1470" spans="1:10" ht="14.1" customHeight="1" x14ac:dyDescent="0.25"/>
    <row r="1471" spans="1:10" ht="34.15" customHeight="1" thickBot="1" x14ac:dyDescent="0.3">
      <c r="A1471" s="24" t="s">
        <v>19</v>
      </c>
      <c r="B1471" s="24" t="s">
        <v>20</v>
      </c>
      <c r="C1471" s="24" t="s">
        <v>21</v>
      </c>
      <c r="D1471" s="24" t="s">
        <v>22</v>
      </c>
      <c r="E1471" s="24" t="s">
        <v>23</v>
      </c>
      <c r="F1471" s="24" t="s">
        <v>24</v>
      </c>
    </row>
    <row r="1472" spans="1:10" ht="14.1" customHeight="1" thickBot="1" x14ac:dyDescent="0.3">
      <c r="A1472" s="26" t="s">
        <v>283</v>
      </c>
      <c r="B1472" s="26" t="s">
        <v>283</v>
      </c>
      <c r="C1472" s="26" t="s">
        <v>64</v>
      </c>
      <c r="D1472" s="26" t="s">
        <v>53</v>
      </c>
      <c r="E1472" s="26" t="s">
        <v>54</v>
      </c>
      <c r="F1472" s="26"/>
    </row>
    <row r="1473" spans="1:10" ht="14.1" customHeight="1" thickBot="1" x14ac:dyDescent="0.3">
      <c r="A1473" s="43" t="s">
        <v>30</v>
      </c>
      <c r="B1473" s="27" t="s">
        <v>31</v>
      </c>
      <c r="C1473" s="28">
        <v>44576</v>
      </c>
      <c r="D1473" s="43" t="s">
        <v>32</v>
      </c>
      <c r="E1473" s="29" t="s">
        <v>33</v>
      </c>
      <c r="F1473" s="30" t="s">
        <v>34</v>
      </c>
    </row>
    <row r="1474" spans="1:10" ht="14.1" customHeight="1" thickBot="1" x14ac:dyDescent="0.3">
      <c r="A1474" s="44"/>
      <c r="B1474" s="27" t="s">
        <v>35</v>
      </c>
      <c r="C1474" s="31">
        <f>IF(C1473="","",IF(AND(MONTH(C1473)&gt;=1,MONTH(C1473)&lt;=3),1,IF(AND(MONTH(C1473)&gt;=4,MONTH(C1473)&lt;=6),2,IF(AND(MONTH(C1473)&gt;=7,MONTH(C1473)&lt;=9),3,4))))</f>
        <v>1</v>
      </c>
      <c r="D1474" s="44"/>
      <c r="E1474" s="29" t="s">
        <v>36</v>
      </c>
      <c r="F1474" s="30"/>
    </row>
    <row r="1475" spans="1:10" ht="14.1" customHeight="1" thickBot="1" x14ac:dyDescent="0.3">
      <c r="A1475" s="44"/>
      <c r="B1475" s="27" t="s">
        <v>37</v>
      </c>
      <c r="C1475" s="28">
        <v>44651</v>
      </c>
      <c r="D1475" s="44"/>
      <c r="E1475" s="29" t="s">
        <v>38</v>
      </c>
      <c r="F1475" s="30"/>
    </row>
    <row r="1476" spans="1:10" ht="14.1" customHeight="1" thickBot="1" x14ac:dyDescent="0.3">
      <c r="A1476" s="44"/>
      <c r="B1476" s="27" t="s">
        <v>35</v>
      </c>
      <c r="C1476" s="31">
        <f>IF(C1475="","",IF(AND(MONTH(C1475)&gt;=1,MONTH(C1475)&lt;=3),1,IF(AND(MONTH(C1475)&gt;=4,MONTH(C1475)&lt;=6),2,IF(AND(MONTH(C1475)&gt;=7,MONTH(C1475)&lt;=9),3,4))))</f>
        <v>1</v>
      </c>
      <c r="D1476" s="44"/>
      <c r="E1476" s="29" t="s">
        <v>39</v>
      </c>
      <c r="F1476" s="30"/>
    </row>
    <row r="1477" spans="1:10" ht="14.1" customHeight="1" x14ac:dyDescent="0.25"/>
    <row r="1478" spans="1:10" ht="14.1" customHeight="1" thickBot="1" x14ac:dyDescent="0.3">
      <c r="A1478" s="32" t="s">
        <v>40</v>
      </c>
      <c r="B1478" s="32" t="s">
        <v>41</v>
      </c>
      <c r="C1478" s="32" t="s">
        <v>42</v>
      </c>
      <c r="D1478" s="32" t="s">
        <v>43</v>
      </c>
      <c r="E1478" s="32" t="s">
        <v>44</v>
      </c>
      <c r="F1478" s="32" t="s">
        <v>45</v>
      </c>
    </row>
    <row r="1479" spans="1:10" ht="14.1" customHeight="1" x14ac:dyDescent="0.25">
      <c r="A1479" s="33" t="s">
        <v>284</v>
      </c>
      <c r="B1479" s="34" t="str">
        <f ca="1">IFERROR(INDEX(UNSPSCDes,MATCH(INDIRECT(ADDRESS(ROW(),COLUMN()-1,4)),UNSPSCCode,0)),IF(INDIRECT(ADDRESS(ROW(),COLUMN()-1,4))="72102103","Servicios de exterminación o fumigación",""))</f>
        <v>Servicios de exterminación o fumigación</v>
      </c>
      <c r="C1479" s="35" t="str">
        <f>IFERROR(VLOOKUP("UD",'[1]Informacion '!P:Q,2,FALSE),"")</f>
        <v>Unidad</v>
      </c>
      <c r="D1479" s="33">
        <v>1</v>
      </c>
      <c r="E1479" s="36">
        <v>150000</v>
      </c>
      <c r="F1479" s="37">
        <f ca="1">INDIRECT(ADDRESS(ROW(),COLUMN()-2,4))*INDIRECT(ADDRESS(ROW(),COLUMN()-1,4))</f>
        <v>150000</v>
      </c>
    </row>
    <row r="1480" spans="1:10" ht="14.1" customHeight="1" x14ac:dyDescent="0.25">
      <c r="E1480" s="38" t="s">
        <v>48</v>
      </c>
      <c r="F1480" s="39">
        <f ca="1">SUM(Table82[MONTO TOTAL ESTIMADO])</f>
        <v>150000</v>
      </c>
      <c r="H1480" s="25" t="str">
        <f>C1472</f>
        <v>Servicios</v>
      </c>
      <c r="I1480" s="25" t="str">
        <f>E1472</f>
        <v>Sí</v>
      </c>
      <c r="J1480" s="25" t="str">
        <f>D1472</f>
        <v>Compras por debajo del Umbral</v>
      </c>
    </row>
    <row r="1481" spans="1:10" ht="14.1" customHeight="1" x14ac:dyDescent="0.25"/>
    <row r="1482" spans="1:10" ht="34.15" customHeight="1" thickBot="1" x14ac:dyDescent="0.3">
      <c r="A1482" s="24" t="s">
        <v>19</v>
      </c>
      <c r="B1482" s="24" t="s">
        <v>20</v>
      </c>
      <c r="C1482" s="24" t="s">
        <v>21</v>
      </c>
      <c r="D1482" s="24" t="s">
        <v>22</v>
      </c>
      <c r="E1482" s="24" t="s">
        <v>23</v>
      </c>
      <c r="F1482" s="24" t="s">
        <v>24</v>
      </c>
    </row>
    <row r="1483" spans="1:10" ht="14.1" customHeight="1" thickBot="1" x14ac:dyDescent="0.3">
      <c r="A1483" s="26" t="s">
        <v>285</v>
      </c>
      <c r="B1483" s="26" t="s">
        <v>285</v>
      </c>
      <c r="C1483" s="26" t="s">
        <v>64</v>
      </c>
      <c r="D1483" s="26" t="s">
        <v>53</v>
      </c>
      <c r="E1483" s="26" t="s">
        <v>54</v>
      </c>
      <c r="F1483" s="26"/>
    </row>
    <row r="1484" spans="1:10" ht="14.1" customHeight="1" thickBot="1" x14ac:dyDescent="0.3">
      <c r="A1484" s="43" t="s">
        <v>30</v>
      </c>
      <c r="B1484" s="27" t="s">
        <v>31</v>
      </c>
      <c r="C1484" s="28">
        <v>44576</v>
      </c>
      <c r="D1484" s="43" t="s">
        <v>32</v>
      </c>
      <c r="E1484" s="29" t="s">
        <v>33</v>
      </c>
      <c r="F1484" s="30" t="s">
        <v>34</v>
      </c>
    </row>
    <row r="1485" spans="1:10" ht="14.1" customHeight="1" thickBot="1" x14ac:dyDescent="0.3">
      <c r="A1485" s="44"/>
      <c r="B1485" s="27" t="s">
        <v>35</v>
      </c>
      <c r="C1485" s="31">
        <f>IF(C1484="","",IF(AND(MONTH(C1484)&gt;=1,MONTH(C1484)&lt;=3),1,IF(AND(MONTH(C1484)&gt;=4,MONTH(C1484)&lt;=6),2,IF(AND(MONTH(C1484)&gt;=7,MONTH(C1484)&lt;=9),3,4))))</f>
        <v>1</v>
      </c>
      <c r="D1485" s="44"/>
      <c r="E1485" s="29" t="s">
        <v>36</v>
      </c>
      <c r="F1485" s="30"/>
    </row>
    <row r="1486" spans="1:10" ht="14.1" customHeight="1" thickBot="1" x14ac:dyDescent="0.3">
      <c r="A1486" s="44"/>
      <c r="B1486" s="27" t="s">
        <v>37</v>
      </c>
      <c r="C1486" s="28">
        <v>44651</v>
      </c>
      <c r="D1486" s="44"/>
      <c r="E1486" s="29" t="s">
        <v>38</v>
      </c>
      <c r="F1486" s="30"/>
    </row>
    <row r="1487" spans="1:10" ht="14.1" customHeight="1" thickBot="1" x14ac:dyDescent="0.3">
      <c r="A1487" s="44"/>
      <c r="B1487" s="27" t="s">
        <v>35</v>
      </c>
      <c r="C1487" s="31">
        <f>IF(C1486="","",IF(AND(MONTH(C1486)&gt;=1,MONTH(C1486)&lt;=3),1,IF(AND(MONTH(C1486)&gt;=4,MONTH(C1486)&lt;=6),2,IF(AND(MONTH(C1486)&gt;=7,MONTH(C1486)&lt;=9),3,4))))</f>
        <v>1</v>
      </c>
      <c r="D1487" s="44"/>
      <c r="E1487" s="29" t="s">
        <v>39</v>
      </c>
      <c r="F1487" s="30"/>
    </row>
    <row r="1488" spans="1:10" ht="14.1" customHeight="1" x14ac:dyDescent="0.25"/>
    <row r="1489" spans="1:10" ht="14.1" customHeight="1" thickBot="1" x14ac:dyDescent="0.3">
      <c r="A1489" s="32" t="s">
        <v>40</v>
      </c>
      <c r="B1489" s="32" t="s">
        <v>41</v>
      </c>
      <c r="C1489" s="32" t="s">
        <v>42</v>
      </c>
      <c r="D1489" s="32" t="s">
        <v>43</v>
      </c>
      <c r="E1489" s="32" t="s">
        <v>44</v>
      </c>
      <c r="F1489" s="32" t="s">
        <v>45</v>
      </c>
    </row>
    <row r="1490" spans="1:10" ht="14.1" customHeight="1" x14ac:dyDescent="0.25">
      <c r="A1490" s="33" t="s">
        <v>286</v>
      </c>
      <c r="B1490" s="34" t="str">
        <f ca="1">IFERROR(INDEX(UNSPSCDes,MATCH(INDIRECT(ADDRESS(ROW(),COLUMN()-1,4)),UNSPSCCode,0)),IF(INDIRECT(ADDRESS(ROW(),COLUMN()-1,4))="72102602","Instalación de ventanas, puertas o dispositivos",""))</f>
        <v>Instalación de ventanas, puertas o dispositivos</v>
      </c>
      <c r="C1490" s="35" t="str">
        <f>IFERROR(VLOOKUP("UD",'[1]Informacion '!P:Q,2,FALSE),"")</f>
        <v>Unidad</v>
      </c>
      <c r="D1490" s="33">
        <v>1</v>
      </c>
      <c r="E1490" s="36">
        <v>20000</v>
      </c>
      <c r="F1490" s="37">
        <f ca="1">INDIRECT(ADDRESS(ROW(),COLUMN()-2,4))*INDIRECT(ADDRESS(ROW(),COLUMN()-1,4))</f>
        <v>20000</v>
      </c>
    </row>
    <row r="1491" spans="1:10" ht="14.1" customHeight="1" x14ac:dyDescent="0.25">
      <c r="A1491" s="33" t="s">
        <v>286</v>
      </c>
      <c r="B1491" s="34" t="str">
        <f ca="1">IFERROR(INDEX(UNSPSCDes,MATCH(INDIRECT(ADDRESS(ROW(),COLUMN()-1,4)),UNSPSCCode,0)),IF(INDIRECT(ADDRESS(ROW(),COLUMN()-1,4))="72102602","Instalación de ventanas, puertas o dispositivos",""))</f>
        <v>Instalación de ventanas, puertas o dispositivos</v>
      </c>
      <c r="C1491" s="35" t="str">
        <f>IFERROR(VLOOKUP("UD",'[1]Informacion '!P:Q,2,FALSE),"")</f>
        <v>Unidad</v>
      </c>
      <c r="D1491" s="33">
        <v>1</v>
      </c>
      <c r="E1491" s="36">
        <v>40000</v>
      </c>
      <c r="F1491" s="37">
        <f ca="1">INDIRECT(ADDRESS(ROW(),COLUMN()-2,4))*INDIRECT(ADDRESS(ROW(),COLUMN()-1,4))</f>
        <v>40000</v>
      </c>
    </row>
    <row r="1492" spans="1:10" ht="14.1" customHeight="1" x14ac:dyDescent="0.25">
      <c r="E1492" s="38" t="s">
        <v>48</v>
      </c>
      <c r="F1492" s="39">
        <f ca="1">SUM(Table83[MONTO TOTAL ESTIMADO])</f>
        <v>60000</v>
      </c>
      <c r="H1492" s="25" t="str">
        <f>C1483</f>
        <v>Servicios</v>
      </c>
      <c r="I1492" s="25" t="str">
        <f>E1483</f>
        <v>Sí</v>
      </c>
      <c r="J1492" s="25" t="str">
        <f>D1483</f>
        <v>Compras por debajo del Umbral</v>
      </c>
    </row>
    <row r="1493" spans="1:10" ht="14.1" customHeight="1" x14ac:dyDescent="0.25"/>
    <row r="1494" spans="1:10" ht="34.15" customHeight="1" thickBot="1" x14ac:dyDescent="0.3">
      <c r="A1494" s="24" t="s">
        <v>19</v>
      </c>
      <c r="B1494" s="24" t="s">
        <v>20</v>
      </c>
      <c r="C1494" s="24" t="s">
        <v>21</v>
      </c>
      <c r="D1494" s="24" t="s">
        <v>22</v>
      </c>
      <c r="E1494" s="24" t="s">
        <v>23</v>
      </c>
      <c r="F1494" s="24" t="s">
        <v>24</v>
      </c>
    </row>
    <row r="1495" spans="1:10" ht="14.1" customHeight="1" thickBot="1" x14ac:dyDescent="0.3">
      <c r="A1495" s="26" t="s">
        <v>285</v>
      </c>
      <c r="B1495" s="26" t="s">
        <v>287</v>
      </c>
      <c r="C1495" s="26" t="s">
        <v>64</v>
      </c>
      <c r="D1495" s="26" t="s">
        <v>53</v>
      </c>
      <c r="E1495" s="26" t="s">
        <v>54</v>
      </c>
      <c r="F1495" s="26"/>
    </row>
    <row r="1496" spans="1:10" ht="14.1" customHeight="1" thickBot="1" x14ac:dyDescent="0.3">
      <c r="A1496" s="43" t="s">
        <v>30</v>
      </c>
      <c r="B1496" s="27" t="s">
        <v>31</v>
      </c>
      <c r="C1496" s="28">
        <v>44835</v>
      </c>
      <c r="D1496" s="43" t="s">
        <v>32</v>
      </c>
      <c r="E1496" s="29" t="s">
        <v>33</v>
      </c>
      <c r="F1496" s="30" t="s">
        <v>34</v>
      </c>
    </row>
    <row r="1497" spans="1:10" ht="14.1" customHeight="1" thickBot="1" x14ac:dyDescent="0.3">
      <c r="A1497" s="44"/>
      <c r="B1497" s="27" t="s">
        <v>35</v>
      </c>
      <c r="C1497" s="31">
        <f>IF(C1496="","",IF(AND(MONTH(C1496)&gt;=1,MONTH(C1496)&lt;=3),1,IF(AND(MONTH(C1496)&gt;=4,MONTH(C1496)&lt;=6),2,IF(AND(MONTH(C1496)&gt;=7,MONTH(C1496)&lt;=9),3,4))))</f>
        <v>4</v>
      </c>
      <c r="D1497" s="44"/>
      <c r="E1497" s="29" t="s">
        <v>36</v>
      </c>
      <c r="F1497" s="30"/>
    </row>
    <row r="1498" spans="1:10" ht="14.1" customHeight="1" thickBot="1" x14ac:dyDescent="0.3">
      <c r="A1498" s="44"/>
      <c r="B1498" s="27" t="s">
        <v>37</v>
      </c>
      <c r="C1498" s="28">
        <v>44926</v>
      </c>
      <c r="D1498" s="44"/>
      <c r="E1498" s="29" t="s">
        <v>38</v>
      </c>
      <c r="F1498" s="30"/>
    </row>
    <row r="1499" spans="1:10" ht="14.1" customHeight="1" thickBot="1" x14ac:dyDescent="0.3">
      <c r="A1499" s="44"/>
      <c r="B1499" s="27" t="s">
        <v>35</v>
      </c>
      <c r="C1499" s="31">
        <f>IF(C1498="","",IF(AND(MONTH(C1498)&gt;=1,MONTH(C1498)&lt;=3),1,IF(AND(MONTH(C1498)&gt;=4,MONTH(C1498)&lt;=6),2,IF(AND(MONTH(C1498)&gt;=7,MONTH(C1498)&lt;=9),3,4))))</f>
        <v>4</v>
      </c>
      <c r="D1499" s="44"/>
      <c r="E1499" s="29" t="s">
        <v>39</v>
      </c>
      <c r="F1499" s="30"/>
    </row>
    <row r="1500" spans="1:10" ht="14.1" customHeight="1" x14ac:dyDescent="0.25"/>
    <row r="1501" spans="1:10" ht="14.1" customHeight="1" thickBot="1" x14ac:dyDescent="0.3">
      <c r="A1501" s="32" t="s">
        <v>40</v>
      </c>
      <c r="B1501" s="32" t="s">
        <v>41</v>
      </c>
      <c r="C1501" s="32" t="s">
        <v>42</v>
      </c>
      <c r="D1501" s="32" t="s">
        <v>43</v>
      </c>
      <c r="E1501" s="32" t="s">
        <v>44</v>
      </c>
      <c r="F1501" s="32" t="s">
        <v>45</v>
      </c>
    </row>
    <row r="1502" spans="1:10" ht="14.1" customHeight="1" x14ac:dyDescent="0.25">
      <c r="A1502" s="33" t="s">
        <v>286</v>
      </c>
      <c r="B1502" s="34" t="str">
        <f ca="1">IFERROR(INDEX(UNSPSCDes,MATCH(INDIRECT(ADDRESS(ROW(),COLUMN()-1,4)),UNSPSCCode,0)),IF(INDIRECT(ADDRESS(ROW(),COLUMN()-1,4))="72102602","Instalación de ventanas, puertas o dispositivos",""))</f>
        <v>Instalación de ventanas, puertas o dispositivos</v>
      </c>
      <c r="C1502" s="35" t="str">
        <f>IFERROR(VLOOKUP("UD",'[1]Informacion '!P:Q,2,FALSE),"")</f>
        <v>Unidad</v>
      </c>
      <c r="D1502" s="33">
        <v>1</v>
      </c>
      <c r="E1502" s="36">
        <v>16500</v>
      </c>
      <c r="F1502" s="37">
        <f ca="1">INDIRECT(ADDRESS(ROW(),COLUMN()-2,4))*INDIRECT(ADDRESS(ROW(),COLUMN()-1,4))</f>
        <v>16500</v>
      </c>
    </row>
    <row r="1503" spans="1:10" ht="14.1" customHeight="1" x14ac:dyDescent="0.25">
      <c r="A1503" s="33" t="s">
        <v>286</v>
      </c>
      <c r="B1503" s="34" t="str">
        <f ca="1">IFERROR(INDEX(UNSPSCDes,MATCH(INDIRECT(ADDRESS(ROW(),COLUMN()-1,4)),UNSPSCCode,0)),IF(INDIRECT(ADDRESS(ROW(),COLUMN()-1,4))="72102602","Instalación de ventanas, puertas o dispositivos",""))</f>
        <v>Instalación de ventanas, puertas o dispositivos</v>
      </c>
      <c r="C1503" s="35" t="str">
        <f>IFERROR(VLOOKUP("UD",'[1]Informacion '!P:Q,2,FALSE),"")</f>
        <v>Unidad</v>
      </c>
      <c r="D1503" s="33">
        <v>1</v>
      </c>
      <c r="E1503" s="36">
        <v>14000</v>
      </c>
      <c r="F1503" s="37">
        <f ca="1">INDIRECT(ADDRESS(ROW(),COLUMN()-2,4))*INDIRECT(ADDRESS(ROW(),COLUMN()-1,4))</f>
        <v>14000</v>
      </c>
    </row>
    <row r="1504" spans="1:10" ht="14.1" customHeight="1" x14ac:dyDescent="0.25">
      <c r="E1504" s="38" t="s">
        <v>48</v>
      </c>
      <c r="F1504" s="39">
        <f ca="1">SUM(Table84[MONTO TOTAL ESTIMADO])</f>
        <v>30500</v>
      </c>
      <c r="H1504" s="25" t="str">
        <f>C1495</f>
        <v>Servicios</v>
      </c>
      <c r="I1504" s="25" t="str">
        <f>E1495</f>
        <v>Sí</v>
      </c>
      <c r="J1504" s="25" t="str">
        <f>D1495</f>
        <v>Compras por debajo del Umbral</v>
      </c>
    </row>
    <row r="1505" spans="1:10" ht="14.1" customHeight="1" x14ac:dyDescent="0.25"/>
    <row r="1506" spans="1:10" ht="34.15" customHeight="1" thickBot="1" x14ac:dyDescent="0.3">
      <c r="A1506" s="24" t="s">
        <v>19</v>
      </c>
      <c r="B1506" s="24" t="s">
        <v>20</v>
      </c>
      <c r="C1506" s="24" t="s">
        <v>21</v>
      </c>
      <c r="D1506" s="24" t="s">
        <v>22</v>
      </c>
      <c r="E1506" s="24" t="s">
        <v>23</v>
      </c>
      <c r="F1506" s="24" t="s">
        <v>24</v>
      </c>
    </row>
    <row r="1507" spans="1:10" ht="14.1" customHeight="1" thickBot="1" x14ac:dyDescent="0.3">
      <c r="A1507" s="26" t="s">
        <v>288</v>
      </c>
      <c r="B1507" s="26" t="s">
        <v>288</v>
      </c>
      <c r="C1507" s="26" t="s">
        <v>27</v>
      </c>
      <c r="D1507" s="26" t="s">
        <v>53</v>
      </c>
      <c r="E1507" s="26" t="s">
        <v>54</v>
      </c>
      <c r="F1507" s="26"/>
    </row>
    <row r="1508" spans="1:10" ht="14.1" customHeight="1" thickBot="1" x14ac:dyDescent="0.3">
      <c r="A1508" s="43" t="s">
        <v>30</v>
      </c>
      <c r="B1508" s="27" t="s">
        <v>31</v>
      </c>
      <c r="C1508" s="28">
        <v>44652</v>
      </c>
      <c r="D1508" s="43" t="s">
        <v>32</v>
      </c>
      <c r="E1508" s="29" t="s">
        <v>33</v>
      </c>
      <c r="F1508" s="30" t="s">
        <v>34</v>
      </c>
    </row>
    <row r="1509" spans="1:10" ht="14.1" customHeight="1" thickBot="1" x14ac:dyDescent="0.3">
      <c r="A1509" s="44"/>
      <c r="B1509" s="27" t="s">
        <v>35</v>
      </c>
      <c r="C1509" s="31">
        <f>IF(C1508="","",IF(AND(MONTH(C1508)&gt;=1,MONTH(C1508)&lt;=3),1,IF(AND(MONTH(C1508)&gt;=4,MONTH(C1508)&lt;=6),2,IF(AND(MONTH(C1508)&gt;=7,MONTH(C1508)&lt;=9),3,4))))</f>
        <v>2</v>
      </c>
      <c r="D1509" s="44"/>
      <c r="E1509" s="29" t="s">
        <v>36</v>
      </c>
      <c r="F1509" s="30"/>
    </row>
    <row r="1510" spans="1:10" ht="14.1" customHeight="1" thickBot="1" x14ac:dyDescent="0.3">
      <c r="A1510" s="44"/>
      <c r="B1510" s="27" t="s">
        <v>37</v>
      </c>
      <c r="C1510" s="28">
        <v>44742</v>
      </c>
      <c r="D1510" s="44"/>
      <c r="E1510" s="29" t="s">
        <v>38</v>
      </c>
      <c r="F1510" s="30"/>
    </row>
    <row r="1511" spans="1:10" ht="14.1" customHeight="1" thickBot="1" x14ac:dyDescent="0.3">
      <c r="A1511" s="44"/>
      <c r="B1511" s="27" t="s">
        <v>35</v>
      </c>
      <c r="C1511" s="31">
        <f>IF(C1510="","",IF(AND(MONTH(C1510)&gt;=1,MONTH(C1510)&lt;=3),1,IF(AND(MONTH(C1510)&gt;=4,MONTH(C1510)&lt;=6),2,IF(AND(MONTH(C1510)&gt;=7,MONTH(C1510)&lt;=9),3,4))))</f>
        <v>2</v>
      </c>
      <c r="D1511" s="44"/>
      <c r="E1511" s="29" t="s">
        <v>39</v>
      </c>
      <c r="F1511" s="30"/>
    </row>
    <row r="1512" spans="1:10" ht="14.1" customHeight="1" x14ac:dyDescent="0.25"/>
    <row r="1513" spans="1:10" ht="14.1" customHeight="1" thickBot="1" x14ac:dyDescent="0.3">
      <c r="A1513" s="32" t="s">
        <v>40</v>
      </c>
      <c r="B1513" s="32" t="s">
        <v>41</v>
      </c>
      <c r="C1513" s="32" t="s">
        <v>42</v>
      </c>
      <c r="D1513" s="32" t="s">
        <v>43</v>
      </c>
      <c r="E1513" s="32" t="s">
        <v>44</v>
      </c>
      <c r="F1513" s="32" t="s">
        <v>45</v>
      </c>
    </row>
    <row r="1514" spans="1:10" ht="14.1" customHeight="1" x14ac:dyDescent="0.25">
      <c r="A1514" s="33" t="s">
        <v>289</v>
      </c>
      <c r="B1514" s="34" t="str">
        <f ca="1">IFERROR(INDEX(UNSPSCDes,MATCH(INDIRECT(ADDRESS(ROW(),COLUMN()-1,4)),UNSPSCCode,0)),IF(INDIRECT(ADDRESS(ROW(),COLUMN()-1,4))="52121604","Manteles",""))</f>
        <v>Manteles</v>
      </c>
      <c r="C1514" s="35" t="str">
        <f>IFERROR(VLOOKUP("UD",'[1]Informacion '!P:Q,2,FALSE),"")</f>
        <v>Unidad</v>
      </c>
      <c r="D1514" s="33">
        <v>10</v>
      </c>
      <c r="E1514" s="36">
        <v>5000</v>
      </c>
      <c r="F1514" s="37">
        <f ca="1">INDIRECT(ADDRESS(ROW(),COLUMN()-2,4))*INDIRECT(ADDRESS(ROW(),COLUMN()-1,4))</f>
        <v>50000</v>
      </c>
    </row>
    <row r="1515" spans="1:10" ht="14.1" customHeight="1" x14ac:dyDescent="0.25">
      <c r="A1515" s="33" t="s">
        <v>289</v>
      </c>
      <c r="B1515" s="34" t="str">
        <f ca="1">IFERROR(INDEX(UNSPSCDes,MATCH(INDIRECT(ADDRESS(ROW(),COLUMN()-1,4)),UNSPSCCode,0)),IF(INDIRECT(ADDRESS(ROW(),COLUMN()-1,4))="52121604","Manteles",""))</f>
        <v>Manteles</v>
      </c>
      <c r="C1515" s="35" t="str">
        <f>IFERROR(VLOOKUP("UD",'[1]Informacion '!P:Q,2,FALSE),"")</f>
        <v>Unidad</v>
      </c>
      <c r="D1515" s="33">
        <v>10</v>
      </c>
      <c r="E1515" s="36">
        <v>4000</v>
      </c>
      <c r="F1515" s="37">
        <f ca="1">INDIRECT(ADDRESS(ROW(),COLUMN()-2,4))*INDIRECT(ADDRESS(ROW(),COLUMN()-1,4))</f>
        <v>40000</v>
      </c>
    </row>
    <row r="1516" spans="1:10" ht="14.1" customHeight="1" x14ac:dyDescent="0.25">
      <c r="A1516" s="33" t="s">
        <v>290</v>
      </c>
      <c r="B1516" s="34" t="str">
        <f ca="1">IFERROR(INDEX(UNSPSCDes,MATCH(INDIRECT(ADDRESS(ROW(),COLUMN()-1,4)),UNSPSCCode,0)),IF(INDIRECT(ADDRESS(ROW(),COLUMN()-1,4))="52121602","Servilletas",""))</f>
        <v>Servilletas</v>
      </c>
      <c r="C1516" s="35" t="str">
        <f>IFERROR(VLOOKUP("UD",'[1]Informacion '!P:Q,2,FALSE),"")</f>
        <v>Unidad</v>
      </c>
      <c r="D1516" s="33">
        <v>50</v>
      </c>
      <c r="E1516" s="36">
        <v>250</v>
      </c>
      <c r="F1516" s="37">
        <f ca="1">INDIRECT(ADDRESS(ROW(),COLUMN()-2,4))*INDIRECT(ADDRESS(ROW(),COLUMN()-1,4))</f>
        <v>12500</v>
      </c>
    </row>
    <row r="1517" spans="1:10" ht="14.1" customHeight="1" x14ac:dyDescent="0.25">
      <c r="A1517" s="33" t="s">
        <v>289</v>
      </c>
      <c r="B1517" s="34" t="str">
        <f ca="1">IFERROR(INDEX(UNSPSCDes,MATCH(INDIRECT(ADDRESS(ROW(),COLUMN()-1,4)),UNSPSCCode,0)),IF(INDIRECT(ADDRESS(ROW(),COLUMN()-1,4))="52121604","Manteles",""))</f>
        <v>Manteles</v>
      </c>
      <c r="C1517" s="35" t="str">
        <f>IFERROR(VLOOKUP("UD",'[1]Informacion '!P:Q,2,FALSE),"")</f>
        <v>Unidad</v>
      </c>
      <c r="D1517" s="33">
        <v>10</v>
      </c>
      <c r="E1517" s="36">
        <v>800</v>
      </c>
      <c r="F1517" s="37">
        <f ca="1">INDIRECT(ADDRESS(ROW(),COLUMN()-2,4))*INDIRECT(ADDRESS(ROW(),COLUMN()-1,4))</f>
        <v>8000</v>
      </c>
    </row>
    <row r="1518" spans="1:10" ht="14.1" customHeight="1" x14ac:dyDescent="0.25">
      <c r="E1518" s="38" t="s">
        <v>48</v>
      </c>
      <c r="F1518" s="39">
        <f ca="1">SUM(Table85[MONTO TOTAL ESTIMADO])</f>
        <v>110500</v>
      </c>
      <c r="H1518" s="25" t="str">
        <f>C1507</f>
        <v>Bienes</v>
      </c>
      <c r="I1518" s="25" t="str">
        <f>E1507</f>
        <v>Sí</v>
      </c>
      <c r="J1518" s="25" t="str">
        <f>D1507</f>
        <v>Compras por debajo del Umbral</v>
      </c>
    </row>
    <row r="1519" spans="1:10" ht="14.1" customHeight="1" x14ac:dyDescent="0.25"/>
    <row r="1520" spans="1:10" ht="34.15" customHeight="1" thickBot="1" x14ac:dyDescent="0.3">
      <c r="A1520" s="24" t="s">
        <v>19</v>
      </c>
      <c r="B1520" s="24" t="s">
        <v>20</v>
      </c>
      <c r="C1520" s="24" t="s">
        <v>21</v>
      </c>
      <c r="D1520" s="24" t="s">
        <v>22</v>
      </c>
      <c r="E1520" s="24" t="s">
        <v>23</v>
      </c>
      <c r="F1520" s="24" t="s">
        <v>24</v>
      </c>
    </row>
    <row r="1521" spans="1:10" ht="14.1" customHeight="1" thickBot="1" x14ac:dyDescent="0.3">
      <c r="A1521" s="26" t="s">
        <v>291</v>
      </c>
      <c r="B1521" s="26" t="s">
        <v>291</v>
      </c>
      <c r="C1521" s="26" t="s">
        <v>27</v>
      </c>
      <c r="D1521" s="26" t="s">
        <v>53</v>
      </c>
      <c r="E1521" s="26" t="s">
        <v>54</v>
      </c>
      <c r="F1521" s="26"/>
    </row>
    <row r="1522" spans="1:10" ht="14.1" customHeight="1" thickBot="1" x14ac:dyDescent="0.3">
      <c r="A1522" s="43" t="s">
        <v>30</v>
      </c>
      <c r="B1522" s="27" t="s">
        <v>31</v>
      </c>
      <c r="C1522" s="28">
        <v>44835</v>
      </c>
      <c r="D1522" s="43" t="s">
        <v>32</v>
      </c>
      <c r="E1522" s="29" t="s">
        <v>33</v>
      </c>
      <c r="F1522" s="30" t="s">
        <v>34</v>
      </c>
    </row>
    <row r="1523" spans="1:10" ht="14.1" customHeight="1" thickBot="1" x14ac:dyDescent="0.3">
      <c r="A1523" s="44"/>
      <c r="B1523" s="27" t="s">
        <v>35</v>
      </c>
      <c r="C1523" s="31">
        <f>IF(C1522="","",IF(AND(MONTH(C1522)&gt;=1,MONTH(C1522)&lt;=3),1,IF(AND(MONTH(C1522)&gt;=4,MONTH(C1522)&lt;=6),2,IF(AND(MONTH(C1522)&gt;=7,MONTH(C1522)&lt;=9),3,4))))</f>
        <v>4</v>
      </c>
      <c r="D1523" s="44"/>
      <c r="E1523" s="29" t="s">
        <v>36</v>
      </c>
      <c r="F1523" s="30"/>
    </row>
    <row r="1524" spans="1:10" ht="14.1" customHeight="1" thickBot="1" x14ac:dyDescent="0.3">
      <c r="A1524" s="44"/>
      <c r="B1524" s="27" t="s">
        <v>37</v>
      </c>
      <c r="C1524" s="28">
        <v>44926</v>
      </c>
      <c r="D1524" s="44"/>
      <c r="E1524" s="29" t="s">
        <v>38</v>
      </c>
      <c r="F1524" s="30"/>
    </row>
    <row r="1525" spans="1:10" ht="14.1" customHeight="1" thickBot="1" x14ac:dyDescent="0.3">
      <c r="A1525" s="44"/>
      <c r="B1525" s="27" t="s">
        <v>35</v>
      </c>
      <c r="C1525" s="31">
        <f>IF(C1524="","",IF(AND(MONTH(C1524)&gt;=1,MONTH(C1524)&lt;=3),1,IF(AND(MONTH(C1524)&gt;=4,MONTH(C1524)&lt;=6),2,IF(AND(MONTH(C1524)&gt;=7,MONTH(C1524)&lt;=9),3,4))))</f>
        <v>4</v>
      </c>
      <c r="D1525" s="44"/>
      <c r="E1525" s="29" t="s">
        <v>39</v>
      </c>
      <c r="F1525" s="30"/>
    </row>
    <row r="1526" spans="1:10" ht="14.1" customHeight="1" x14ac:dyDescent="0.25"/>
    <row r="1527" spans="1:10" ht="14.1" customHeight="1" thickBot="1" x14ac:dyDescent="0.3">
      <c r="A1527" s="32" t="s">
        <v>40</v>
      </c>
      <c r="B1527" s="32" t="s">
        <v>41</v>
      </c>
      <c r="C1527" s="32" t="s">
        <v>42</v>
      </c>
      <c r="D1527" s="32" t="s">
        <v>43</v>
      </c>
      <c r="E1527" s="32" t="s">
        <v>44</v>
      </c>
      <c r="F1527" s="32" t="s">
        <v>45</v>
      </c>
    </row>
    <row r="1528" spans="1:10" ht="14.1" customHeight="1" x14ac:dyDescent="0.25">
      <c r="A1528" s="33" t="s">
        <v>289</v>
      </c>
      <c r="B1528" s="34" t="str">
        <f ca="1">IFERROR(INDEX(UNSPSCDes,MATCH(INDIRECT(ADDRESS(ROW(),COLUMN()-1,4)),UNSPSCCode,0)),IF(INDIRECT(ADDRESS(ROW(),COLUMN()-1,4))="52121604","Manteles",""))</f>
        <v>Manteles</v>
      </c>
      <c r="C1528" s="35" t="str">
        <f>IFERROR(VLOOKUP("UD",'[1]Informacion '!P:Q,2,FALSE),"")</f>
        <v>Unidad</v>
      </c>
      <c r="D1528" s="33">
        <v>10</v>
      </c>
      <c r="E1528" s="36">
        <v>5000</v>
      </c>
      <c r="F1528" s="37">
        <f ca="1">INDIRECT(ADDRESS(ROW(),COLUMN()-2,4))*INDIRECT(ADDRESS(ROW(),COLUMN()-1,4))</f>
        <v>50000</v>
      </c>
    </row>
    <row r="1529" spans="1:10" ht="14.1" customHeight="1" x14ac:dyDescent="0.25">
      <c r="A1529" s="33" t="s">
        <v>289</v>
      </c>
      <c r="B1529" s="34" t="str">
        <f ca="1">IFERROR(INDEX(UNSPSCDes,MATCH(INDIRECT(ADDRESS(ROW(),COLUMN()-1,4)),UNSPSCCode,0)),IF(INDIRECT(ADDRESS(ROW(),COLUMN()-1,4))="52121604","Manteles",""))</f>
        <v>Manteles</v>
      </c>
      <c r="C1529" s="35" t="str">
        <f>IFERROR(VLOOKUP("UD",'[1]Informacion '!P:Q,2,FALSE),"")</f>
        <v>Unidad</v>
      </c>
      <c r="D1529" s="33">
        <v>10</v>
      </c>
      <c r="E1529" s="36">
        <v>4000</v>
      </c>
      <c r="F1529" s="37">
        <f ca="1">INDIRECT(ADDRESS(ROW(),COLUMN()-2,4))*INDIRECT(ADDRESS(ROW(),COLUMN()-1,4))</f>
        <v>40000</v>
      </c>
    </row>
    <row r="1530" spans="1:10" ht="14.1" customHeight="1" x14ac:dyDescent="0.25">
      <c r="A1530" s="33" t="s">
        <v>290</v>
      </c>
      <c r="B1530" s="34" t="str">
        <f ca="1">IFERROR(INDEX(UNSPSCDes,MATCH(INDIRECT(ADDRESS(ROW(),COLUMN()-1,4)),UNSPSCCode,0)),IF(INDIRECT(ADDRESS(ROW(),COLUMN()-1,4))="52121602","Servilletas",""))</f>
        <v>Servilletas</v>
      </c>
      <c r="C1530" s="35" t="str">
        <f>IFERROR(VLOOKUP("UD",'[1]Informacion '!P:Q,2,FALSE),"")</f>
        <v>Unidad</v>
      </c>
      <c r="D1530" s="33">
        <v>50</v>
      </c>
      <c r="E1530" s="36">
        <v>250</v>
      </c>
      <c r="F1530" s="37">
        <f ca="1">INDIRECT(ADDRESS(ROW(),COLUMN()-2,4))*INDIRECT(ADDRESS(ROW(),COLUMN()-1,4))</f>
        <v>12500</v>
      </c>
    </row>
    <row r="1531" spans="1:10" ht="14.1" customHeight="1" x14ac:dyDescent="0.25">
      <c r="A1531" s="33" t="s">
        <v>289</v>
      </c>
      <c r="B1531" s="34" t="str">
        <f ca="1">IFERROR(INDEX(UNSPSCDes,MATCH(INDIRECT(ADDRESS(ROW(),COLUMN()-1,4)),UNSPSCCode,0)),IF(INDIRECT(ADDRESS(ROW(),COLUMN()-1,4))="52121604","Manteles",""))</f>
        <v>Manteles</v>
      </c>
      <c r="C1531" s="35" t="str">
        <f>IFERROR(VLOOKUP("UD",'[1]Informacion '!P:Q,2,FALSE),"")</f>
        <v>Unidad</v>
      </c>
      <c r="D1531" s="33">
        <v>10</v>
      </c>
      <c r="E1531" s="36">
        <v>800</v>
      </c>
      <c r="F1531" s="37">
        <f ca="1">INDIRECT(ADDRESS(ROW(),COLUMN()-2,4))*INDIRECT(ADDRESS(ROW(),COLUMN()-1,4))</f>
        <v>8000</v>
      </c>
    </row>
    <row r="1532" spans="1:10" ht="14.1" customHeight="1" x14ac:dyDescent="0.25">
      <c r="E1532" s="38" t="s">
        <v>48</v>
      </c>
      <c r="F1532" s="39">
        <f ca="1">SUM(Table86[MONTO TOTAL ESTIMADO])</f>
        <v>110500</v>
      </c>
      <c r="H1532" s="25" t="str">
        <f>C1521</f>
        <v>Bienes</v>
      </c>
      <c r="I1532" s="25" t="str">
        <f>E1521</f>
        <v>Sí</v>
      </c>
      <c r="J1532" s="25" t="str">
        <f>D1521</f>
        <v>Compras por debajo del Umbral</v>
      </c>
    </row>
    <row r="1533" spans="1:10" ht="14.1" customHeight="1" x14ac:dyDescent="0.25"/>
    <row r="1534" spans="1:10" ht="34.15" customHeight="1" thickBot="1" x14ac:dyDescent="0.3">
      <c r="A1534" s="24" t="s">
        <v>19</v>
      </c>
      <c r="B1534" s="24" t="s">
        <v>20</v>
      </c>
      <c r="C1534" s="24" t="s">
        <v>21</v>
      </c>
      <c r="D1534" s="24" t="s">
        <v>22</v>
      </c>
      <c r="E1534" s="24" t="s">
        <v>23</v>
      </c>
      <c r="F1534" s="24" t="s">
        <v>24</v>
      </c>
    </row>
    <row r="1535" spans="1:10" ht="14.1" customHeight="1" thickBot="1" x14ac:dyDescent="0.3">
      <c r="A1535" s="26" t="s">
        <v>292</v>
      </c>
      <c r="B1535" s="26" t="s">
        <v>293</v>
      </c>
      <c r="C1535" s="26" t="s">
        <v>27</v>
      </c>
      <c r="D1535" s="26" t="s">
        <v>53</v>
      </c>
      <c r="E1535" s="26" t="s">
        <v>54</v>
      </c>
      <c r="F1535" s="26"/>
    </row>
    <row r="1536" spans="1:10" ht="14.1" customHeight="1" thickBot="1" x14ac:dyDescent="0.3">
      <c r="A1536" s="43" t="s">
        <v>30</v>
      </c>
      <c r="B1536" s="27" t="s">
        <v>31</v>
      </c>
      <c r="C1536" s="28">
        <v>44576</v>
      </c>
      <c r="D1536" s="43" t="s">
        <v>32</v>
      </c>
      <c r="E1536" s="29" t="s">
        <v>33</v>
      </c>
      <c r="F1536" s="30" t="s">
        <v>34</v>
      </c>
    </row>
    <row r="1537" spans="1:10" ht="14.1" customHeight="1" thickBot="1" x14ac:dyDescent="0.3">
      <c r="A1537" s="44"/>
      <c r="B1537" s="27" t="s">
        <v>35</v>
      </c>
      <c r="C1537" s="31">
        <f>IF(C1536="","",IF(AND(MONTH(C1536)&gt;=1,MONTH(C1536)&lt;=3),1,IF(AND(MONTH(C1536)&gt;=4,MONTH(C1536)&lt;=6),2,IF(AND(MONTH(C1536)&gt;=7,MONTH(C1536)&lt;=9),3,4))))</f>
        <v>1</v>
      </c>
      <c r="D1537" s="44"/>
      <c r="E1537" s="29" t="s">
        <v>36</v>
      </c>
      <c r="F1537" s="30"/>
    </row>
    <row r="1538" spans="1:10" ht="14.1" customHeight="1" thickBot="1" x14ac:dyDescent="0.3">
      <c r="A1538" s="44"/>
      <c r="B1538" s="27" t="s">
        <v>37</v>
      </c>
      <c r="C1538" s="28">
        <v>44651</v>
      </c>
      <c r="D1538" s="44"/>
      <c r="E1538" s="29" t="s">
        <v>38</v>
      </c>
      <c r="F1538" s="30"/>
    </row>
    <row r="1539" spans="1:10" ht="14.1" customHeight="1" thickBot="1" x14ac:dyDescent="0.3">
      <c r="A1539" s="44"/>
      <c r="B1539" s="27" t="s">
        <v>35</v>
      </c>
      <c r="C1539" s="31">
        <f>IF(C1538="","",IF(AND(MONTH(C1538)&gt;=1,MONTH(C1538)&lt;=3),1,IF(AND(MONTH(C1538)&gt;=4,MONTH(C1538)&lt;=6),2,IF(AND(MONTH(C1538)&gt;=7,MONTH(C1538)&lt;=9),3,4))))</f>
        <v>1</v>
      </c>
      <c r="D1539" s="44"/>
      <c r="E1539" s="29" t="s">
        <v>39</v>
      </c>
      <c r="F1539" s="30"/>
    </row>
    <row r="1540" spans="1:10" ht="14.1" customHeight="1" x14ac:dyDescent="0.25"/>
    <row r="1541" spans="1:10" ht="14.1" customHeight="1" thickBot="1" x14ac:dyDescent="0.3">
      <c r="A1541" s="32" t="s">
        <v>40</v>
      </c>
      <c r="B1541" s="32" t="s">
        <v>41</v>
      </c>
      <c r="C1541" s="32" t="s">
        <v>42</v>
      </c>
      <c r="D1541" s="32" t="s">
        <v>43</v>
      </c>
      <c r="E1541" s="32" t="s">
        <v>44</v>
      </c>
      <c r="F1541" s="32" t="s">
        <v>45</v>
      </c>
    </row>
    <row r="1542" spans="1:10" ht="14.1" customHeight="1" x14ac:dyDescent="0.25">
      <c r="A1542" s="33" t="s">
        <v>294</v>
      </c>
      <c r="B1542" s="34" t="str">
        <f ca="1">IFERROR(INDEX(UNSPSCDes,MATCH(INDIRECT(ADDRESS(ROW(),COLUMN()-1,4)),UNSPSCCode,0)),IF(INDIRECT(ADDRESS(ROW(),COLUMN()-1,4))="48101907","Jarras para servicio de comidas",""))</f>
        <v>Jarras para servicio de comidas</v>
      </c>
      <c r="C1542" s="35" t="str">
        <f>IFERROR(VLOOKUP("UD",'[1]Informacion '!P:Q,2,FALSE),"")</f>
        <v>Unidad</v>
      </c>
      <c r="D1542" s="33">
        <v>1</v>
      </c>
      <c r="E1542" s="36">
        <v>500</v>
      </c>
      <c r="F1542" s="37">
        <f t="shared" ref="F1542:F1549" ca="1" si="35">INDIRECT(ADDRESS(ROW(),COLUMN()-2,4))*INDIRECT(ADDRESS(ROW(),COLUMN()-1,4))</f>
        <v>500</v>
      </c>
    </row>
    <row r="1543" spans="1:10" ht="14.1" customHeight="1" x14ac:dyDescent="0.25">
      <c r="A1543" s="33" t="s">
        <v>295</v>
      </c>
      <c r="B1543" s="34" t="str">
        <f ca="1">IFERROR(INDEX(UNSPSCDes,MATCH(INDIRECT(ADDRESS(ROW(),COLUMN()-1,4)),UNSPSCCode,0)),IF(INDIRECT(ADDRESS(ROW(),COLUMN()-1,4))="48101904","Copas para servicio de comidas",""))</f>
        <v>Copas para servicio de comidas</v>
      </c>
      <c r="C1543" s="35" t="str">
        <f>IFERROR(VLOOKUP("UD",'[1]Informacion '!P:Q,2,FALSE),"")</f>
        <v>Unidad</v>
      </c>
      <c r="D1543" s="33">
        <v>1</v>
      </c>
      <c r="E1543" s="36">
        <v>2500</v>
      </c>
      <c r="F1543" s="37">
        <f t="shared" ca="1" si="35"/>
        <v>2500</v>
      </c>
    </row>
    <row r="1544" spans="1:10" ht="14.1" customHeight="1" x14ac:dyDescent="0.25">
      <c r="A1544" s="33" t="s">
        <v>296</v>
      </c>
      <c r="B1544" s="34" t="str">
        <f ca="1">IFERROR(INDEX(UNSPSCDes,MATCH(INDIRECT(ADDRESS(ROW(),COLUMN()-1,4)),UNSPSCCode,0)),IF(INDIRECT(ADDRESS(ROW(),COLUMN()-1,4))="52152102","Vasos para beber para uso doméstico",""))</f>
        <v>Vasos para beber para uso doméstico</v>
      </c>
      <c r="C1544" s="35" t="str">
        <f>IFERROR(VLOOKUP("UD",'[1]Informacion '!P:Q,2,FALSE),"")</f>
        <v>Unidad</v>
      </c>
      <c r="D1544" s="33">
        <v>1</v>
      </c>
      <c r="E1544" s="36">
        <v>2000</v>
      </c>
      <c r="F1544" s="37">
        <f t="shared" ca="1" si="35"/>
        <v>2000</v>
      </c>
    </row>
    <row r="1545" spans="1:10" ht="14.1" customHeight="1" x14ac:dyDescent="0.25">
      <c r="A1545" s="33" t="s">
        <v>297</v>
      </c>
      <c r="B1545" s="34" t="str">
        <f ca="1">IFERROR(INDEX(UNSPSCDes,MATCH(INDIRECT(ADDRESS(ROW(),COLUMN()-1,4)),UNSPSCCode,0)),IF(INDIRECT(ADDRESS(ROW(),COLUMN()-1,4))="52152101","Tazas de café o té para uso doméstico",""))</f>
        <v>Tazas de café o té para uso doméstico</v>
      </c>
      <c r="C1545" s="35" t="str">
        <f>IFERROR(VLOOKUP("UD",'[1]Informacion '!P:Q,2,FALSE),"")</f>
        <v>Unidad</v>
      </c>
      <c r="D1545" s="33">
        <v>1</v>
      </c>
      <c r="E1545" s="36">
        <v>3600</v>
      </c>
      <c r="F1545" s="37">
        <f t="shared" ca="1" si="35"/>
        <v>3600</v>
      </c>
    </row>
    <row r="1546" spans="1:10" ht="14.1" customHeight="1" x14ac:dyDescent="0.25">
      <c r="A1546" s="33" t="s">
        <v>298</v>
      </c>
      <c r="B1546" s="34" t="str">
        <f ca="1">IFERROR(INDEX(UNSPSCDes,MATCH(INDIRECT(ADDRESS(ROW(),COLUMN()-1,4)),UNSPSCCode,0)),IF(INDIRECT(ADDRESS(ROW(),COLUMN()-1,4))="52152004","Platos para uso doméstico",""))</f>
        <v>Platos para uso doméstico</v>
      </c>
      <c r="C1546" s="35" t="str">
        <f>IFERROR(VLOOKUP("UD",'[1]Informacion '!P:Q,2,FALSE),"")</f>
        <v>Unidad</v>
      </c>
      <c r="D1546" s="33">
        <v>1</v>
      </c>
      <c r="E1546" s="36">
        <v>2000</v>
      </c>
      <c r="F1546" s="37">
        <f t="shared" ca="1" si="35"/>
        <v>2000</v>
      </c>
    </row>
    <row r="1547" spans="1:10" ht="14.1" customHeight="1" x14ac:dyDescent="0.25">
      <c r="A1547" s="33" t="s">
        <v>299</v>
      </c>
      <c r="B1547" s="34" t="str">
        <f ca="1">IFERROR(INDEX(UNSPSCDes,MATCH(INDIRECT(ADDRESS(ROW(),COLUMN()-1,4)),UNSPSCCode,0)),IF(INDIRECT(ADDRESS(ROW(),COLUMN()-1,4))="52151702","Cuchillos para uso doméstico",""))</f>
        <v>Cuchillos para uso doméstico</v>
      </c>
      <c r="C1547" s="35" t="str">
        <f>IFERROR(VLOOKUP("UD",'[1]Informacion '!P:Q,2,FALSE),"")</f>
        <v>Unidad</v>
      </c>
      <c r="D1547" s="33">
        <v>1</v>
      </c>
      <c r="E1547" s="36">
        <v>2600</v>
      </c>
      <c r="F1547" s="37">
        <f t="shared" ca="1" si="35"/>
        <v>2600</v>
      </c>
    </row>
    <row r="1548" spans="1:10" ht="14.1" customHeight="1" x14ac:dyDescent="0.25">
      <c r="A1548" s="33" t="s">
        <v>300</v>
      </c>
      <c r="B1548" s="34" t="str">
        <f ca="1">IFERROR(INDEX(UNSPSCDes,MATCH(INDIRECT(ADDRESS(ROW(),COLUMN()-1,4)),UNSPSCCode,0)),IF(INDIRECT(ADDRESS(ROW(),COLUMN()-1,4))="52151703","Tenedores para uso doméstico",""))</f>
        <v>Tenedores para uso doméstico</v>
      </c>
      <c r="C1548" s="35" t="str">
        <f>IFERROR(VLOOKUP("UD",'[1]Informacion '!P:Q,2,FALSE),"")</f>
        <v>Unidad</v>
      </c>
      <c r="D1548" s="33">
        <v>1</v>
      </c>
      <c r="E1548" s="36">
        <v>1200</v>
      </c>
      <c r="F1548" s="37">
        <f t="shared" ca="1" si="35"/>
        <v>1200</v>
      </c>
    </row>
    <row r="1549" spans="1:10" ht="14.1" customHeight="1" x14ac:dyDescent="0.25">
      <c r="A1549" s="33" t="s">
        <v>301</v>
      </c>
      <c r="B1549" s="34" t="str">
        <f ca="1">IFERROR(INDEX(UNSPSCDes,MATCH(INDIRECT(ADDRESS(ROW(),COLUMN()-1,4)),UNSPSCCode,0)),IF(INDIRECT(ADDRESS(ROW(),COLUMN()-1,4))="52151704","Cucharas para uso doméstico",""))</f>
        <v>Cucharas para uso doméstico</v>
      </c>
      <c r="C1549" s="35" t="str">
        <f>IFERROR(VLOOKUP("UD",'[1]Informacion '!P:Q,2,FALSE),"")</f>
        <v>Unidad</v>
      </c>
      <c r="D1549" s="33">
        <v>1</v>
      </c>
      <c r="E1549" s="36">
        <v>1200</v>
      </c>
      <c r="F1549" s="37">
        <f t="shared" ca="1" si="35"/>
        <v>1200</v>
      </c>
    </row>
    <row r="1550" spans="1:10" ht="14.1" customHeight="1" x14ac:dyDescent="0.25">
      <c r="E1550" s="38" t="s">
        <v>48</v>
      </c>
      <c r="F1550" s="39">
        <f ca="1">SUM(Table87[MONTO TOTAL ESTIMADO])</f>
        <v>15600</v>
      </c>
      <c r="H1550" s="25" t="str">
        <f>C1535</f>
        <v>Bienes</v>
      </c>
      <c r="I1550" s="25" t="str">
        <f>E1535</f>
        <v>Sí</v>
      </c>
      <c r="J1550" s="25" t="str">
        <f>D1535</f>
        <v>Compras por debajo del Umbral</v>
      </c>
    </row>
    <row r="1551" spans="1:10" ht="14.1" customHeight="1" x14ac:dyDescent="0.25"/>
    <row r="1552" spans="1:10" ht="34.15" customHeight="1" thickBot="1" x14ac:dyDescent="0.3">
      <c r="A1552" s="24" t="s">
        <v>19</v>
      </c>
      <c r="B1552" s="24" t="s">
        <v>20</v>
      </c>
      <c r="C1552" s="24" t="s">
        <v>21</v>
      </c>
      <c r="D1552" s="24" t="s">
        <v>22</v>
      </c>
      <c r="E1552" s="24" t="s">
        <v>23</v>
      </c>
      <c r="F1552" s="24" t="s">
        <v>24</v>
      </c>
    </row>
    <row r="1553" spans="1:10" ht="14.1" customHeight="1" thickBot="1" x14ac:dyDescent="0.3">
      <c r="A1553" s="26" t="s">
        <v>292</v>
      </c>
      <c r="B1553" s="26" t="s">
        <v>302</v>
      </c>
      <c r="C1553" s="26" t="s">
        <v>27</v>
      </c>
      <c r="D1553" s="26" t="s">
        <v>53</v>
      </c>
      <c r="E1553" s="26" t="s">
        <v>54</v>
      </c>
      <c r="F1553" s="26"/>
    </row>
    <row r="1554" spans="1:10" ht="14.1" customHeight="1" thickBot="1" x14ac:dyDescent="0.3">
      <c r="A1554" s="43" t="s">
        <v>30</v>
      </c>
      <c r="B1554" s="27" t="s">
        <v>31</v>
      </c>
      <c r="C1554" s="28">
        <v>44743</v>
      </c>
      <c r="D1554" s="43" t="s">
        <v>32</v>
      </c>
      <c r="E1554" s="29" t="s">
        <v>33</v>
      </c>
      <c r="F1554" s="30" t="s">
        <v>34</v>
      </c>
    </row>
    <row r="1555" spans="1:10" ht="14.1" customHeight="1" thickBot="1" x14ac:dyDescent="0.3">
      <c r="A1555" s="44"/>
      <c r="B1555" s="27" t="s">
        <v>35</v>
      </c>
      <c r="C1555" s="31">
        <f>IF(C1554="","",IF(AND(MONTH(C1554)&gt;=1,MONTH(C1554)&lt;=3),1,IF(AND(MONTH(C1554)&gt;=4,MONTH(C1554)&lt;=6),2,IF(AND(MONTH(C1554)&gt;=7,MONTH(C1554)&lt;=9),3,4))))</f>
        <v>3</v>
      </c>
      <c r="D1555" s="44"/>
      <c r="E1555" s="29" t="s">
        <v>36</v>
      </c>
      <c r="F1555" s="30"/>
    </row>
    <row r="1556" spans="1:10" ht="14.1" customHeight="1" thickBot="1" x14ac:dyDescent="0.3">
      <c r="A1556" s="44"/>
      <c r="B1556" s="27" t="s">
        <v>37</v>
      </c>
      <c r="C1556" s="28">
        <v>44834</v>
      </c>
      <c r="D1556" s="44"/>
      <c r="E1556" s="29" t="s">
        <v>38</v>
      </c>
      <c r="F1556" s="30"/>
    </row>
    <row r="1557" spans="1:10" ht="14.1" customHeight="1" thickBot="1" x14ac:dyDescent="0.3">
      <c r="A1557" s="44"/>
      <c r="B1557" s="27" t="s">
        <v>35</v>
      </c>
      <c r="C1557" s="31">
        <f>IF(C1556="","",IF(AND(MONTH(C1556)&gt;=1,MONTH(C1556)&lt;=3),1,IF(AND(MONTH(C1556)&gt;=4,MONTH(C1556)&lt;=6),2,IF(AND(MONTH(C1556)&gt;=7,MONTH(C1556)&lt;=9),3,4))))</f>
        <v>3</v>
      </c>
      <c r="D1557" s="44"/>
      <c r="E1557" s="29" t="s">
        <v>39</v>
      </c>
      <c r="F1557" s="30"/>
    </row>
    <row r="1558" spans="1:10" ht="14.1" customHeight="1" x14ac:dyDescent="0.25"/>
    <row r="1559" spans="1:10" ht="14.1" customHeight="1" thickBot="1" x14ac:dyDescent="0.3">
      <c r="A1559" s="32" t="s">
        <v>40</v>
      </c>
      <c r="B1559" s="32" t="s">
        <v>41</v>
      </c>
      <c r="C1559" s="32" t="s">
        <v>42</v>
      </c>
      <c r="D1559" s="32" t="s">
        <v>43</v>
      </c>
      <c r="E1559" s="32" t="s">
        <v>44</v>
      </c>
      <c r="F1559" s="32" t="s">
        <v>45</v>
      </c>
    </row>
    <row r="1560" spans="1:10" ht="14.1" customHeight="1" x14ac:dyDescent="0.25">
      <c r="A1560" s="33" t="s">
        <v>294</v>
      </c>
      <c r="B1560" s="34" t="str">
        <f ca="1">IFERROR(INDEX(UNSPSCDes,MATCH(INDIRECT(ADDRESS(ROW(),COLUMN()-1,4)),UNSPSCCode,0)),IF(INDIRECT(ADDRESS(ROW(),COLUMN()-1,4))="48101907","Jarras para servicio de comidas",""))</f>
        <v>Jarras para servicio de comidas</v>
      </c>
      <c r="C1560" s="35" t="str">
        <f>IFERROR(VLOOKUP("UD",'[1]Informacion '!P:Q,2,FALSE),"")</f>
        <v>Unidad</v>
      </c>
      <c r="D1560" s="33">
        <v>1</v>
      </c>
      <c r="E1560" s="36">
        <v>500</v>
      </c>
      <c r="F1560" s="37">
        <f t="shared" ref="F1560:F1567" ca="1" si="36">INDIRECT(ADDRESS(ROW(),COLUMN()-2,4))*INDIRECT(ADDRESS(ROW(),COLUMN()-1,4))</f>
        <v>500</v>
      </c>
    </row>
    <row r="1561" spans="1:10" ht="14.1" customHeight="1" x14ac:dyDescent="0.25">
      <c r="A1561" s="33" t="s">
        <v>295</v>
      </c>
      <c r="B1561" s="34" t="str">
        <f ca="1">IFERROR(INDEX(UNSPSCDes,MATCH(INDIRECT(ADDRESS(ROW(),COLUMN()-1,4)),UNSPSCCode,0)),IF(INDIRECT(ADDRESS(ROW(),COLUMN()-1,4))="48101904","Copas para servicio de comidas",""))</f>
        <v>Copas para servicio de comidas</v>
      </c>
      <c r="C1561" s="35" t="str">
        <f>IFERROR(VLOOKUP("CAJ",'[1]Informacion '!P:Q,2,FALSE),"")</f>
        <v>Caja</v>
      </c>
      <c r="D1561" s="33">
        <v>1</v>
      </c>
      <c r="E1561" s="36">
        <v>2500</v>
      </c>
      <c r="F1561" s="37">
        <f t="shared" ca="1" si="36"/>
        <v>2500</v>
      </c>
    </row>
    <row r="1562" spans="1:10" ht="14.1" customHeight="1" x14ac:dyDescent="0.25">
      <c r="A1562" s="33" t="s">
        <v>303</v>
      </c>
      <c r="B1562" s="34" t="str">
        <f ca="1">IFERROR(INDEX(UNSPSCDes,MATCH(INDIRECT(ADDRESS(ROW(),COLUMN()-1,4)),UNSPSCCode,0)),IF(INDIRECT(ADDRESS(ROW(),COLUMN()-1,4))="52152104","Copas para uso doméstico",""))</f>
        <v>Copas para uso doméstico</v>
      </c>
      <c r="C1562" s="35" t="str">
        <f>IFERROR(VLOOKUP("CAJ",'[1]Informacion '!P:Q,2,FALSE),"")</f>
        <v>Caja</v>
      </c>
      <c r="D1562" s="33">
        <v>1</v>
      </c>
      <c r="E1562" s="36">
        <v>2000</v>
      </c>
      <c r="F1562" s="37">
        <f t="shared" ca="1" si="36"/>
        <v>2000</v>
      </c>
    </row>
    <row r="1563" spans="1:10" ht="14.1" customHeight="1" x14ac:dyDescent="0.25">
      <c r="A1563" s="33" t="s">
        <v>297</v>
      </c>
      <c r="B1563" s="34" t="str">
        <f ca="1">IFERROR(INDEX(UNSPSCDes,MATCH(INDIRECT(ADDRESS(ROW(),COLUMN()-1,4)),UNSPSCCode,0)),IF(INDIRECT(ADDRESS(ROW(),COLUMN()-1,4))="52152101","Tazas de café o té para uso doméstico",""))</f>
        <v>Tazas de café o té para uso doméstico</v>
      </c>
      <c r="C1563" s="35" t="str">
        <f>IFERROR(VLOOKUP("CAJ",'[1]Informacion '!P:Q,2,FALSE),"")</f>
        <v>Caja</v>
      </c>
      <c r="D1563" s="33">
        <v>1</v>
      </c>
      <c r="E1563" s="36">
        <v>3600</v>
      </c>
      <c r="F1563" s="37">
        <f t="shared" ca="1" si="36"/>
        <v>3600</v>
      </c>
    </row>
    <row r="1564" spans="1:10" ht="14.1" customHeight="1" x14ac:dyDescent="0.25">
      <c r="A1564" s="33" t="s">
        <v>298</v>
      </c>
      <c r="B1564" s="34" t="str">
        <f ca="1">IFERROR(INDEX(UNSPSCDes,MATCH(INDIRECT(ADDRESS(ROW(),COLUMN()-1,4)),UNSPSCCode,0)),IF(INDIRECT(ADDRESS(ROW(),COLUMN()-1,4))="52152004","Platos para uso doméstico",""))</f>
        <v>Platos para uso doméstico</v>
      </c>
      <c r="C1564" s="35" t="str">
        <f>IFERROR(VLOOKUP("CAJ",'[1]Informacion '!P:Q,2,FALSE),"")</f>
        <v>Caja</v>
      </c>
      <c r="D1564" s="33">
        <v>1</v>
      </c>
      <c r="E1564" s="36">
        <v>2000</v>
      </c>
      <c r="F1564" s="37">
        <f t="shared" ca="1" si="36"/>
        <v>2000</v>
      </c>
    </row>
    <row r="1565" spans="1:10" ht="14.1" customHeight="1" x14ac:dyDescent="0.25">
      <c r="A1565" s="33" t="s">
        <v>299</v>
      </c>
      <c r="B1565" s="34" t="str">
        <f ca="1">IFERROR(INDEX(UNSPSCDes,MATCH(INDIRECT(ADDRESS(ROW(),COLUMN()-1,4)),UNSPSCCode,0)),IF(INDIRECT(ADDRESS(ROW(),COLUMN()-1,4))="52151702","Cuchillos para uso doméstico",""))</f>
        <v>Cuchillos para uso doméstico</v>
      </c>
      <c r="C1565" s="35" t="str">
        <f>IFERROR(VLOOKUP("CAJ",'[1]Informacion '!P:Q,2,FALSE),"")</f>
        <v>Caja</v>
      </c>
      <c r="D1565" s="33">
        <v>1</v>
      </c>
      <c r="E1565" s="36">
        <v>2600</v>
      </c>
      <c r="F1565" s="37">
        <f t="shared" ca="1" si="36"/>
        <v>2600</v>
      </c>
    </row>
    <row r="1566" spans="1:10" ht="14.1" customHeight="1" x14ac:dyDescent="0.25">
      <c r="A1566" s="33" t="s">
        <v>300</v>
      </c>
      <c r="B1566" s="34" t="str">
        <f ca="1">IFERROR(INDEX(UNSPSCDes,MATCH(INDIRECT(ADDRESS(ROW(),COLUMN()-1,4)),UNSPSCCode,0)),IF(INDIRECT(ADDRESS(ROW(),COLUMN()-1,4))="52151703","Tenedores para uso doméstico",""))</f>
        <v>Tenedores para uso doméstico</v>
      </c>
      <c r="C1566" s="35" t="str">
        <f>IFERROR(VLOOKUP("CAJ",'[1]Informacion '!P:Q,2,FALSE),"")</f>
        <v>Caja</v>
      </c>
      <c r="D1566" s="33">
        <v>1</v>
      </c>
      <c r="E1566" s="36">
        <v>1200</v>
      </c>
      <c r="F1566" s="37">
        <f t="shared" ca="1" si="36"/>
        <v>1200</v>
      </c>
    </row>
    <row r="1567" spans="1:10" ht="14.1" customHeight="1" x14ac:dyDescent="0.25">
      <c r="A1567" s="33" t="s">
        <v>301</v>
      </c>
      <c r="B1567" s="34" t="str">
        <f ca="1">IFERROR(INDEX(UNSPSCDes,MATCH(INDIRECT(ADDRESS(ROW(),COLUMN()-1,4)),UNSPSCCode,0)),IF(INDIRECT(ADDRESS(ROW(),COLUMN()-1,4))="52151704","Cucharas para uso doméstico",""))</f>
        <v>Cucharas para uso doméstico</v>
      </c>
      <c r="C1567" s="35" t="str">
        <f>IFERROR(VLOOKUP("CAJ",'[1]Informacion '!P:Q,2,FALSE),"")</f>
        <v>Caja</v>
      </c>
      <c r="D1567" s="33">
        <v>1</v>
      </c>
      <c r="E1567" s="36">
        <v>1200</v>
      </c>
      <c r="F1567" s="37">
        <f t="shared" ca="1" si="36"/>
        <v>1200</v>
      </c>
    </row>
    <row r="1568" spans="1:10" ht="14.1" customHeight="1" x14ac:dyDescent="0.25">
      <c r="E1568" s="38" t="s">
        <v>48</v>
      </c>
      <c r="F1568" s="39">
        <f ca="1">SUM(Table88[MONTO TOTAL ESTIMADO])</f>
        <v>15600</v>
      </c>
      <c r="H1568" s="25" t="str">
        <f>C1553</f>
        <v>Bienes</v>
      </c>
      <c r="I1568" s="25" t="str">
        <f>E1553</f>
        <v>Sí</v>
      </c>
      <c r="J1568" s="25" t="str">
        <f>D1553</f>
        <v>Compras por debajo del Umbral</v>
      </c>
    </row>
    <row r="1569" spans="1:10" ht="14.1" customHeight="1" x14ac:dyDescent="0.25"/>
    <row r="1570" spans="1:10" ht="34.15" customHeight="1" thickBot="1" x14ac:dyDescent="0.3">
      <c r="A1570" s="24" t="s">
        <v>19</v>
      </c>
      <c r="B1570" s="24" t="s">
        <v>20</v>
      </c>
      <c r="C1570" s="24" t="s">
        <v>21</v>
      </c>
      <c r="D1570" s="24" t="s">
        <v>22</v>
      </c>
      <c r="E1570" s="24" t="s">
        <v>23</v>
      </c>
      <c r="F1570" s="24" t="s">
        <v>24</v>
      </c>
    </row>
    <row r="1571" spans="1:10" ht="14.1" customHeight="1" thickBot="1" x14ac:dyDescent="0.3">
      <c r="A1571" s="26" t="s">
        <v>304</v>
      </c>
      <c r="B1571" s="26" t="s">
        <v>305</v>
      </c>
      <c r="C1571" s="26" t="s">
        <v>27</v>
      </c>
      <c r="D1571" s="26" t="s">
        <v>28</v>
      </c>
      <c r="E1571" s="26" t="s">
        <v>54</v>
      </c>
      <c r="F1571" s="26"/>
    </row>
    <row r="1572" spans="1:10" ht="14.1" customHeight="1" thickBot="1" x14ac:dyDescent="0.3">
      <c r="A1572" s="43" t="s">
        <v>30</v>
      </c>
      <c r="B1572" s="27" t="s">
        <v>31</v>
      </c>
      <c r="C1572" s="28">
        <v>44576</v>
      </c>
      <c r="D1572" s="43" t="s">
        <v>32</v>
      </c>
      <c r="E1572" s="29" t="s">
        <v>33</v>
      </c>
      <c r="F1572" s="30" t="s">
        <v>34</v>
      </c>
    </row>
    <row r="1573" spans="1:10" ht="14.1" customHeight="1" thickBot="1" x14ac:dyDescent="0.3">
      <c r="A1573" s="44"/>
      <c r="B1573" s="27" t="s">
        <v>35</v>
      </c>
      <c r="C1573" s="31">
        <f>IF(C1572="","",IF(AND(MONTH(C1572)&gt;=1,MONTH(C1572)&lt;=3),1,IF(AND(MONTH(C1572)&gt;=4,MONTH(C1572)&lt;=6),2,IF(AND(MONTH(C1572)&gt;=7,MONTH(C1572)&lt;=9),3,4))))</f>
        <v>1</v>
      </c>
      <c r="D1573" s="44"/>
      <c r="E1573" s="29" t="s">
        <v>36</v>
      </c>
      <c r="F1573" s="30"/>
    </row>
    <row r="1574" spans="1:10" ht="14.1" customHeight="1" thickBot="1" x14ac:dyDescent="0.3">
      <c r="A1574" s="44"/>
      <c r="B1574" s="27" t="s">
        <v>37</v>
      </c>
      <c r="C1574" s="28">
        <v>44651</v>
      </c>
      <c r="D1574" s="44"/>
      <c r="E1574" s="29" t="s">
        <v>38</v>
      </c>
      <c r="F1574" s="30"/>
    </row>
    <row r="1575" spans="1:10" ht="14.1" customHeight="1" thickBot="1" x14ac:dyDescent="0.3">
      <c r="A1575" s="44"/>
      <c r="B1575" s="27" t="s">
        <v>35</v>
      </c>
      <c r="C1575" s="31">
        <f>IF(C1574="","",IF(AND(MONTH(C1574)&gt;=1,MONTH(C1574)&lt;=3),1,IF(AND(MONTH(C1574)&gt;=4,MONTH(C1574)&lt;=6),2,IF(AND(MONTH(C1574)&gt;=7,MONTH(C1574)&lt;=9),3,4))))</f>
        <v>1</v>
      </c>
      <c r="D1575" s="44"/>
      <c r="E1575" s="29" t="s">
        <v>39</v>
      </c>
      <c r="F1575" s="30"/>
    </row>
    <row r="1576" spans="1:10" ht="14.1" customHeight="1" x14ac:dyDescent="0.25"/>
    <row r="1577" spans="1:10" ht="14.1" customHeight="1" thickBot="1" x14ac:dyDescent="0.3">
      <c r="A1577" s="32" t="s">
        <v>40</v>
      </c>
      <c r="B1577" s="32" t="s">
        <v>41</v>
      </c>
      <c r="C1577" s="32" t="s">
        <v>42</v>
      </c>
      <c r="D1577" s="32" t="s">
        <v>43</v>
      </c>
      <c r="E1577" s="32" t="s">
        <v>44</v>
      </c>
      <c r="F1577" s="32" t="s">
        <v>45</v>
      </c>
    </row>
    <row r="1578" spans="1:10" ht="14.1" customHeight="1" x14ac:dyDescent="0.25">
      <c r="A1578" s="33" t="s">
        <v>306</v>
      </c>
      <c r="B1578" s="34" t="str">
        <f ca="1">IFERROR(INDEX(UNSPSCDes,MATCH(INDIRECT(ADDRESS(ROW(),COLUMN()-1,4)),UNSPSCCode,0)),IF(INDIRECT(ADDRESS(ROW(),COLUMN()-1,4))="82121507","Impresión de papelería o formularios comerciales",""))</f>
        <v>Impresión de papelería o formularios comerciales</v>
      </c>
      <c r="C1578" s="35" t="str">
        <f>IFERROR(VLOOKUP("RESMA",'[1]Informacion '!P:Q,2,FALSE),"")</f>
        <v>Resma</v>
      </c>
      <c r="D1578" s="33">
        <v>150</v>
      </c>
      <c r="E1578" s="36">
        <v>800</v>
      </c>
      <c r="F1578" s="37">
        <f t="shared" ref="F1578:F1583" ca="1" si="37">INDIRECT(ADDRESS(ROW(),COLUMN()-2,4))*INDIRECT(ADDRESS(ROW(),COLUMN()-1,4))</f>
        <v>120000</v>
      </c>
    </row>
    <row r="1579" spans="1:10" ht="14.1" customHeight="1" x14ac:dyDescent="0.25">
      <c r="A1579" s="33" t="s">
        <v>306</v>
      </c>
      <c r="B1579" s="34" t="str">
        <f ca="1">IFERROR(INDEX(UNSPSCDes,MATCH(INDIRECT(ADDRESS(ROW(),COLUMN()-1,4)),UNSPSCCode,0)),IF(INDIRECT(ADDRESS(ROW(),COLUMN()-1,4))="82121507","Impresión de papelería o formularios comerciales",""))</f>
        <v>Impresión de papelería o formularios comerciales</v>
      </c>
      <c r="C1579" s="35" t="str">
        <f>IFERROR(VLOOKUP("CAJ",'[1]Informacion '!P:Q,2,FALSE),"")</f>
        <v>Caja</v>
      </c>
      <c r="D1579" s="33">
        <v>1</v>
      </c>
      <c r="E1579" s="36">
        <v>2500</v>
      </c>
      <c r="F1579" s="37">
        <f t="shared" ca="1" si="37"/>
        <v>2500</v>
      </c>
    </row>
    <row r="1580" spans="1:10" ht="14.1" customHeight="1" x14ac:dyDescent="0.25">
      <c r="A1580" s="33" t="s">
        <v>306</v>
      </c>
      <c r="B1580" s="34" t="str">
        <f ca="1">IFERROR(INDEX(UNSPSCDes,MATCH(INDIRECT(ADDRESS(ROW(),COLUMN()-1,4)),UNSPSCCode,0)),IF(INDIRECT(ADDRESS(ROW(),COLUMN()-1,4))="82121507","Impresión de papelería o formularios comerciales",""))</f>
        <v>Impresión de papelería o formularios comerciales</v>
      </c>
      <c r="C1580" s="35" t="str">
        <f>IFERROR(VLOOKUP("CAJ",'[1]Informacion '!P:Q,2,FALSE),"")</f>
        <v>Caja</v>
      </c>
      <c r="D1580" s="33">
        <v>1</v>
      </c>
      <c r="E1580" s="36">
        <v>3500</v>
      </c>
      <c r="F1580" s="37">
        <f t="shared" ca="1" si="37"/>
        <v>3500</v>
      </c>
    </row>
    <row r="1581" spans="1:10" ht="14.1" customHeight="1" x14ac:dyDescent="0.25">
      <c r="A1581" s="33" t="s">
        <v>306</v>
      </c>
      <c r="B1581" s="34" t="str">
        <f ca="1">IFERROR(INDEX(UNSPSCDes,MATCH(INDIRECT(ADDRESS(ROW(),COLUMN()-1,4)),UNSPSCCode,0)),IF(INDIRECT(ADDRESS(ROW(),COLUMN()-1,4))="82121507","Impresión de papelería o formularios comerciales",""))</f>
        <v>Impresión de papelería o formularios comerciales</v>
      </c>
      <c r="C1581" s="35" t="str">
        <f>IFERROR(VLOOKUP("CAJ",'[1]Informacion '!P:Q,2,FALSE),"")</f>
        <v>Caja</v>
      </c>
      <c r="D1581" s="33">
        <v>1</v>
      </c>
      <c r="E1581" s="36">
        <v>4000</v>
      </c>
      <c r="F1581" s="37">
        <f t="shared" ca="1" si="37"/>
        <v>4000</v>
      </c>
    </row>
    <row r="1582" spans="1:10" ht="14.1" customHeight="1" x14ac:dyDescent="0.25">
      <c r="A1582" s="33" t="s">
        <v>119</v>
      </c>
      <c r="B1582" s="34" t="str">
        <f ca="1">IFERROR(INDEX(UNSPSCDes,MATCH(INDIRECT(ADDRESS(ROW(),COLUMN()-1,4)),UNSPSCCode,0)),IF(INDIRECT(ADDRESS(ROW(),COLUMN()-1,4))="82121505","Impresión promocional o publicitaria",""))</f>
        <v>Impresión promocional o publicitaria</v>
      </c>
      <c r="C1582" s="35" t="str">
        <f>IFERROR(VLOOKUP("UD",'[1]Informacion '!P:Q,2,FALSE),"")</f>
        <v>Unidad</v>
      </c>
      <c r="D1582" s="33">
        <v>1000</v>
      </c>
      <c r="E1582" s="36">
        <v>350</v>
      </c>
      <c r="F1582" s="37">
        <f t="shared" ca="1" si="37"/>
        <v>350000</v>
      </c>
    </row>
    <row r="1583" spans="1:10" ht="14.1" customHeight="1" x14ac:dyDescent="0.25">
      <c r="A1583" s="33" t="s">
        <v>307</v>
      </c>
      <c r="B1583" s="34" t="str">
        <f ca="1">IFERROR(INDEX(UNSPSCDes,MATCH(INDIRECT(ADDRESS(ROW(),COLUMN()-1,4)),UNSPSCCode,0)),IF(INDIRECT(ADDRESS(ROW(),COLUMN()-1,4))="14111604","Tarjetas de presentación",""))</f>
        <v>Tarjetas de presentación</v>
      </c>
      <c r="C1583" s="35" t="str">
        <f>IFERROR(VLOOKUP("UD",'[1]Informacion '!P:Q,2,FALSE),"")</f>
        <v>Unidad</v>
      </c>
      <c r="D1583" s="33">
        <v>500</v>
      </c>
      <c r="E1583" s="36">
        <v>9</v>
      </c>
      <c r="F1583" s="37">
        <f t="shared" ca="1" si="37"/>
        <v>4500</v>
      </c>
    </row>
    <row r="1584" spans="1:10" ht="14.1" customHeight="1" x14ac:dyDescent="0.25">
      <c r="E1584" s="38" t="s">
        <v>48</v>
      </c>
      <c r="F1584" s="39">
        <f ca="1">SUM(Table89[MONTO TOTAL ESTIMADO])</f>
        <v>484500</v>
      </c>
      <c r="H1584" s="25" t="str">
        <f>C1571</f>
        <v>Bienes</v>
      </c>
      <c r="I1584" s="25" t="str">
        <f>E1571</f>
        <v>Sí</v>
      </c>
      <c r="J1584" s="25" t="str">
        <f>D1571</f>
        <v>Compras Menores</v>
      </c>
    </row>
    <row r="1585" spans="1:6" ht="14.1" customHeight="1" x14ac:dyDescent="0.25"/>
    <row r="1586" spans="1:6" ht="34.15" customHeight="1" thickBot="1" x14ac:dyDescent="0.3">
      <c r="A1586" s="24" t="s">
        <v>19</v>
      </c>
      <c r="B1586" s="24" t="s">
        <v>20</v>
      </c>
      <c r="C1586" s="24" t="s">
        <v>21</v>
      </c>
      <c r="D1586" s="24" t="s">
        <v>22</v>
      </c>
      <c r="E1586" s="24" t="s">
        <v>23</v>
      </c>
      <c r="F1586" s="24" t="s">
        <v>24</v>
      </c>
    </row>
    <row r="1587" spans="1:6" ht="14.1" customHeight="1" thickBot="1" x14ac:dyDescent="0.3">
      <c r="A1587" s="26" t="s">
        <v>304</v>
      </c>
      <c r="B1587" s="26" t="s">
        <v>305</v>
      </c>
      <c r="C1587" s="26" t="s">
        <v>27</v>
      </c>
      <c r="D1587" s="26" t="s">
        <v>28</v>
      </c>
      <c r="E1587" s="26" t="s">
        <v>54</v>
      </c>
      <c r="F1587" s="26"/>
    </row>
    <row r="1588" spans="1:6" ht="14.1" customHeight="1" thickBot="1" x14ac:dyDescent="0.3">
      <c r="A1588" s="43" t="s">
        <v>30</v>
      </c>
      <c r="B1588" s="27" t="s">
        <v>31</v>
      </c>
      <c r="C1588" s="28">
        <v>44743</v>
      </c>
      <c r="D1588" s="43" t="s">
        <v>32</v>
      </c>
      <c r="E1588" s="29" t="s">
        <v>33</v>
      </c>
      <c r="F1588" s="30" t="s">
        <v>34</v>
      </c>
    </row>
    <row r="1589" spans="1:6" ht="14.1" customHeight="1" thickBot="1" x14ac:dyDescent="0.3">
      <c r="A1589" s="44"/>
      <c r="B1589" s="27" t="s">
        <v>35</v>
      </c>
      <c r="C1589" s="31">
        <f>IF(C1588="","",IF(AND(MONTH(C1588)&gt;=1,MONTH(C1588)&lt;=3),1,IF(AND(MONTH(C1588)&gt;=4,MONTH(C1588)&lt;=6),2,IF(AND(MONTH(C1588)&gt;=7,MONTH(C1588)&lt;=9),3,4))))</f>
        <v>3</v>
      </c>
      <c r="D1589" s="44"/>
      <c r="E1589" s="29" t="s">
        <v>36</v>
      </c>
      <c r="F1589" s="30"/>
    </row>
    <row r="1590" spans="1:6" ht="14.1" customHeight="1" thickBot="1" x14ac:dyDescent="0.3">
      <c r="A1590" s="44"/>
      <c r="B1590" s="27" t="s">
        <v>37</v>
      </c>
      <c r="C1590" s="28">
        <v>44834</v>
      </c>
      <c r="D1590" s="44"/>
      <c r="E1590" s="29" t="s">
        <v>38</v>
      </c>
      <c r="F1590" s="30"/>
    </row>
    <row r="1591" spans="1:6" ht="14.1" customHeight="1" thickBot="1" x14ac:dyDescent="0.3">
      <c r="A1591" s="44"/>
      <c r="B1591" s="27" t="s">
        <v>35</v>
      </c>
      <c r="C1591" s="31">
        <f>IF(C1590="","",IF(AND(MONTH(C1590)&gt;=1,MONTH(C1590)&lt;=3),1,IF(AND(MONTH(C1590)&gt;=4,MONTH(C1590)&lt;=6),2,IF(AND(MONTH(C1590)&gt;=7,MONTH(C1590)&lt;=9),3,4))))</f>
        <v>3</v>
      </c>
      <c r="D1591" s="44"/>
      <c r="E1591" s="29" t="s">
        <v>39</v>
      </c>
      <c r="F1591" s="30"/>
    </row>
    <row r="1592" spans="1:6" ht="14.1" customHeight="1" x14ac:dyDescent="0.25"/>
    <row r="1593" spans="1:6" ht="14.1" customHeight="1" thickBot="1" x14ac:dyDescent="0.3">
      <c r="A1593" s="32" t="s">
        <v>40</v>
      </c>
      <c r="B1593" s="32" t="s">
        <v>41</v>
      </c>
      <c r="C1593" s="32" t="s">
        <v>42</v>
      </c>
      <c r="D1593" s="32" t="s">
        <v>43</v>
      </c>
      <c r="E1593" s="32" t="s">
        <v>44</v>
      </c>
      <c r="F1593" s="32" t="s">
        <v>45</v>
      </c>
    </row>
    <row r="1594" spans="1:6" ht="14.1" customHeight="1" x14ac:dyDescent="0.25">
      <c r="A1594" s="33" t="s">
        <v>119</v>
      </c>
      <c r="B1594" s="34" t="str">
        <f ca="1">IFERROR(INDEX(UNSPSCDes,MATCH(INDIRECT(ADDRESS(ROW(),COLUMN()-1,4)),UNSPSCCode,0)),IF(INDIRECT(ADDRESS(ROW(),COLUMN()-1,4))="82121505","Impresión promocional o publicitaria",""))</f>
        <v>Impresión promocional o publicitaria</v>
      </c>
      <c r="C1594" s="35" t="str">
        <f>IFERROR(VLOOKUP("UD",'[1]Informacion '!P:Q,2,FALSE),"")</f>
        <v>Unidad</v>
      </c>
      <c r="D1594" s="33">
        <v>500</v>
      </c>
      <c r="E1594" s="36">
        <v>300</v>
      </c>
      <c r="F1594" s="37">
        <f t="shared" ref="F1594:F1600" ca="1" si="38">INDIRECT(ADDRESS(ROW(),COLUMN()-2,4))*INDIRECT(ADDRESS(ROW(),COLUMN()-1,4))</f>
        <v>150000</v>
      </c>
    </row>
    <row r="1595" spans="1:6" ht="14.1" customHeight="1" x14ac:dyDescent="0.25">
      <c r="A1595" s="33" t="s">
        <v>307</v>
      </c>
      <c r="B1595" s="34" t="str">
        <f ca="1">IFERROR(INDEX(UNSPSCDes,MATCH(INDIRECT(ADDRESS(ROW(),COLUMN()-1,4)),UNSPSCCode,0)),IF(INDIRECT(ADDRESS(ROW(),COLUMN()-1,4))="14111604","Tarjetas de presentación",""))</f>
        <v>Tarjetas de presentación</v>
      </c>
      <c r="C1595" s="35" t="str">
        <f>IFERROR(VLOOKUP("UD",'[1]Informacion '!P:Q,2,FALSE),"")</f>
        <v>Unidad</v>
      </c>
      <c r="D1595" s="33">
        <v>1750</v>
      </c>
      <c r="E1595" s="36">
        <v>6</v>
      </c>
      <c r="F1595" s="37">
        <f t="shared" ca="1" si="38"/>
        <v>10500</v>
      </c>
    </row>
    <row r="1596" spans="1:6" ht="14.1" customHeight="1" x14ac:dyDescent="0.25">
      <c r="A1596" s="33" t="s">
        <v>307</v>
      </c>
      <c r="B1596" s="34" t="str">
        <f ca="1">IFERROR(INDEX(UNSPSCDes,MATCH(INDIRECT(ADDRESS(ROW(),COLUMN()-1,4)),UNSPSCCode,0)),IF(INDIRECT(ADDRESS(ROW(),COLUMN()-1,4))="14111604","Tarjetas de presentación",""))</f>
        <v>Tarjetas de presentación</v>
      </c>
      <c r="C1596" s="35" t="str">
        <f>IFERROR(VLOOKUP("UD",'[1]Informacion '!P:Q,2,FALSE),"")</f>
        <v>Unidad</v>
      </c>
      <c r="D1596" s="33">
        <v>1000</v>
      </c>
      <c r="E1596" s="36">
        <v>9</v>
      </c>
      <c r="F1596" s="37">
        <f t="shared" ca="1" si="38"/>
        <v>9000</v>
      </c>
    </row>
    <row r="1597" spans="1:6" ht="14.1" customHeight="1" x14ac:dyDescent="0.25">
      <c r="A1597" s="33" t="s">
        <v>306</v>
      </c>
      <c r="B1597" s="34" t="str">
        <f ca="1">IFERROR(INDEX(UNSPSCDes,MATCH(INDIRECT(ADDRESS(ROW(),COLUMN()-1,4)),UNSPSCCode,0)),IF(INDIRECT(ADDRESS(ROW(),COLUMN()-1,4))="82121507","Impresión de papelería o formularios comerciales",""))</f>
        <v>Impresión de papelería o formularios comerciales</v>
      </c>
      <c r="C1597" s="35" t="str">
        <f>IFERROR(VLOOKUP("CAJ",'[1]Informacion '!P:Q,2,FALSE),"")</f>
        <v>Caja</v>
      </c>
      <c r="D1597" s="33">
        <v>1</v>
      </c>
      <c r="E1597" s="36">
        <v>2500</v>
      </c>
      <c r="F1597" s="37">
        <f t="shared" ca="1" si="38"/>
        <v>2500</v>
      </c>
    </row>
    <row r="1598" spans="1:6" ht="14.1" customHeight="1" x14ac:dyDescent="0.25">
      <c r="A1598" s="33" t="s">
        <v>306</v>
      </c>
      <c r="B1598" s="34" t="str">
        <f ca="1">IFERROR(INDEX(UNSPSCDes,MATCH(INDIRECT(ADDRESS(ROW(),COLUMN()-1,4)),UNSPSCCode,0)),IF(INDIRECT(ADDRESS(ROW(),COLUMN()-1,4))="82121507","Impresión de papelería o formularios comerciales",""))</f>
        <v>Impresión de papelería o formularios comerciales</v>
      </c>
      <c r="C1598" s="35" t="str">
        <f>IFERROR(VLOOKUP("CAJ",'[1]Informacion '!P:Q,2,FALSE),"")</f>
        <v>Caja</v>
      </c>
      <c r="D1598" s="33">
        <v>1</v>
      </c>
      <c r="E1598" s="36">
        <v>3500</v>
      </c>
      <c r="F1598" s="37">
        <f t="shared" ca="1" si="38"/>
        <v>3500</v>
      </c>
    </row>
    <row r="1599" spans="1:6" ht="14.1" customHeight="1" x14ac:dyDescent="0.25">
      <c r="A1599" s="33" t="s">
        <v>306</v>
      </c>
      <c r="B1599" s="34" t="str">
        <f ca="1">IFERROR(INDEX(UNSPSCDes,MATCH(INDIRECT(ADDRESS(ROW(),COLUMN()-1,4)),UNSPSCCode,0)),IF(INDIRECT(ADDRESS(ROW(),COLUMN()-1,4))="82121507","Impresión de papelería o formularios comerciales",""))</f>
        <v>Impresión de papelería o formularios comerciales</v>
      </c>
      <c r="C1599" s="35" t="str">
        <f>IFERROR(VLOOKUP("CAJ",'[1]Informacion '!P:Q,2,FALSE),"")</f>
        <v>Caja</v>
      </c>
      <c r="D1599" s="33">
        <v>1</v>
      </c>
      <c r="E1599" s="36">
        <v>4000</v>
      </c>
      <c r="F1599" s="37">
        <f t="shared" ca="1" si="38"/>
        <v>4000</v>
      </c>
    </row>
    <row r="1600" spans="1:6" ht="14.1" customHeight="1" x14ac:dyDescent="0.25">
      <c r="A1600" s="33" t="s">
        <v>306</v>
      </c>
      <c r="B1600" s="34" t="str">
        <f ca="1">IFERROR(INDEX(UNSPSCDes,MATCH(INDIRECT(ADDRESS(ROW(),COLUMN()-1,4)),UNSPSCCode,0)),IF(INDIRECT(ADDRESS(ROW(),COLUMN()-1,4))="82121507","Impresión de papelería o formularios comerciales",""))</f>
        <v>Impresión de papelería o formularios comerciales</v>
      </c>
      <c r="C1600" s="35" t="str">
        <f>IFERROR(VLOOKUP("RESMA",'[1]Informacion '!P:Q,2,FALSE),"")</f>
        <v>Resma</v>
      </c>
      <c r="D1600" s="33">
        <v>150</v>
      </c>
      <c r="E1600" s="36">
        <v>800</v>
      </c>
      <c r="F1600" s="37">
        <f t="shared" ca="1" si="38"/>
        <v>120000</v>
      </c>
    </row>
    <row r="1601" spans="1:10" ht="14.1" customHeight="1" x14ac:dyDescent="0.25">
      <c r="E1601" s="38" t="s">
        <v>48</v>
      </c>
      <c r="F1601" s="39">
        <f ca="1">SUM(Table90[MONTO TOTAL ESTIMADO])</f>
        <v>299500</v>
      </c>
      <c r="H1601" s="25" t="str">
        <f>C1587</f>
        <v>Bienes</v>
      </c>
      <c r="I1601" s="25" t="str">
        <f>E1587</f>
        <v>Sí</v>
      </c>
      <c r="J1601" s="25" t="str">
        <f>D1587</f>
        <v>Compras Menores</v>
      </c>
    </row>
    <row r="1602" spans="1:10" ht="14.1" customHeight="1" x14ac:dyDescent="0.25"/>
    <row r="1603" spans="1:10" ht="34.15" customHeight="1" thickBot="1" x14ac:dyDescent="0.3">
      <c r="A1603" s="24" t="s">
        <v>19</v>
      </c>
      <c r="B1603" s="24" t="s">
        <v>20</v>
      </c>
      <c r="C1603" s="24" t="s">
        <v>21</v>
      </c>
      <c r="D1603" s="24" t="s">
        <v>22</v>
      </c>
      <c r="E1603" s="24" t="s">
        <v>23</v>
      </c>
      <c r="F1603" s="24" t="s">
        <v>24</v>
      </c>
    </row>
    <row r="1604" spans="1:10" ht="14.1" customHeight="1" thickBot="1" x14ac:dyDescent="0.3">
      <c r="A1604" s="26" t="s">
        <v>304</v>
      </c>
      <c r="B1604" s="26" t="s">
        <v>305</v>
      </c>
      <c r="C1604" s="26" t="s">
        <v>27</v>
      </c>
      <c r="D1604" s="26" t="s">
        <v>53</v>
      </c>
      <c r="E1604" s="26" t="s">
        <v>54</v>
      </c>
      <c r="F1604" s="26"/>
    </row>
    <row r="1605" spans="1:10" ht="14.1" customHeight="1" thickBot="1" x14ac:dyDescent="0.3">
      <c r="A1605" s="43" t="s">
        <v>30</v>
      </c>
      <c r="B1605" s="27" t="s">
        <v>31</v>
      </c>
      <c r="C1605" s="28">
        <v>44835</v>
      </c>
      <c r="D1605" s="43" t="s">
        <v>32</v>
      </c>
      <c r="E1605" s="29" t="s">
        <v>33</v>
      </c>
      <c r="F1605" s="30" t="s">
        <v>34</v>
      </c>
    </row>
    <row r="1606" spans="1:10" ht="14.1" customHeight="1" thickBot="1" x14ac:dyDescent="0.3">
      <c r="A1606" s="44"/>
      <c r="B1606" s="27" t="s">
        <v>35</v>
      </c>
      <c r="C1606" s="31">
        <f>IF(C1605="","",IF(AND(MONTH(C1605)&gt;=1,MONTH(C1605)&lt;=3),1,IF(AND(MONTH(C1605)&gt;=4,MONTH(C1605)&lt;=6),2,IF(AND(MONTH(C1605)&gt;=7,MONTH(C1605)&lt;=9),3,4))))</f>
        <v>4</v>
      </c>
      <c r="D1606" s="44"/>
      <c r="E1606" s="29" t="s">
        <v>36</v>
      </c>
      <c r="F1606" s="30"/>
    </row>
    <row r="1607" spans="1:10" ht="14.1" customHeight="1" thickBot="1" x14ac:dyDescent="0.3">
      <c r="A1607" s="44"/>
      <c r="B1607" s="27" t="s">
        <v>37</v>
      </c>
      <c r="C1607" s="28">
        <v>44926</v>
      </c>
      <c r="D1607" s="44"/>
      <c r="E1607" s="29" t="s">
        <v>38</v>
      </c>
      <c r="F1607" s="30"/>
    </row>
    <row r="1608" spans="1:10" ht="14.1" customHeight="1" thickBot="1" x14ac:dyDescent="0.3">
      <c r="A1608" s="44"/>
      <c r="B1608" s="27" t="s">
        <v>35</v>
      </c>
      <c r="C1608" s="31">
        <f>IF(C1607="","",IF(AND(MONTH(C1607)&gt;=1,MONTH(C1607)&lt;=3),1,IF(AND(MONTH(C1607)&gt;=4,MONTH(C1607)&lt;=6),2,IF(AND(MONTH(C1607)&gt;=7,MONTH(C1607)&lt;=9),3,4))))</f>
        <v>4</v>
      </c>
      <c r="D1608" s="44"/>
      <c r="E1608" s="29" t="s">
        <v>39</v>
      </c>
      <c r="F1608" s="30"/>
    </row>
    <row r="1609" spans="1:10" ht="14.1" customHeight="1" x14ac:dyDescent="0.25"/>
    <row r="1610" spans="1:10" ht="14.1" customHeight="1" thickBot="1" x14ac:dyDescent="0.3">
      <c r="A1610" s="32" t="s">
        <v>40</v>
      </c>
      <c r="B1610" s="32" t="s">
        <v>41</v>
      </c>
      <c r="C1610" s="32" t="s">
        <v>42</v>
      </c>
      <c r="D1610" s="32" t="s">
        <v>43</v>
      </c>
      <c r="E1610" s="32" t="s">
        <v>44</v>
      </c>
      <c r="F1610" s="32" t="s">
        <v>45</v>
      </c>
    </row>
    <row r="1611" spans="1:10" ht="14.1" customHeight="1" x14ac:dyDescent="0.25">
      <c r="A1611" s="33" t="s">
        <v>119</v>
      </c>
      <c r="B1611" s="34" t="str">
        <f ca="1">IFERROR(INDEX(UNSPSCDes,MATCH(INDIRECT(ADDRESS(ROW(),COLUMN()-1,4)),UNSPSCCode,0)),IF(INDIRECT(ADDRESS(ROW(),COLUMN()-1,4))="82121505","Impresión promocional o publicitaria",""))</f>
        <v>Impresión promocional o publicitaria</v>
      </c>
      <c r="C1611" s="35" t="str">
        <f>IFERROR(VLOOKUP("RESMA",'[1]Informacion '!P:Q,2,FALSE),"")</f>
        <v>Resma</v>
      </c>
      <c r="D1611" s="33">
        <v>100</v>
      </c>
      <c r="E1611" s="36">
        <v>800</v>
      </c>
      <c r="F1611" s="37">
        <f ca="1">INDIRECT(ADDRESS(ROW(),COLUMN()-2,4))*INDIRECT(ADDRESS(ROW(),COLUMN()-1,4))</f>
        <v>80000</v>
      </c>
    </row>
    <row r="1612" spans="1:10" ht="14.1" customHeight="1" x14ac:dyDescent="0.25">
      <c r="E1612" s="38" t="s">
        <v>48</v>
      </c>
      <c r="F1612" s="39">
        <f ca="1">SUM(Table91[MONTO TOTAL ESTIMADO])</f>
        <v>80000</v>
      </c>
      <c r="H1612" s="25" t="str">
        <f>C1604</f>
        <v>Bienes</v>
      </c>
      <c r="I1612" s="25" t="str">
        <f>E1604</f>
        <v>Sí</v>
      </c>
      <c r="J1612" s="25" t="str">
        <f>D1604</f>
        <v>Compras por debajo del Umbral</v>
      </c>
    </row>
    <row r="1613" spans="1:10" ht="14.1" customHeight="1" x14ac:dyDescent="0.25"/>
    <row r="1614" spans="1:10" ht="34.15" customHeight="1" thickBot="1" x14ac:dyDescent="0.3">
      <c r="A1614" s="24" t="s">
        <v>19</v>
      </c>
      <c r="B1614" s="24" t="s">
        <v>20</v>
      </c>
      <c r="C1614" s="24" t="s">
        <v>21</v>
      </c>
      <c r="D1614" s="24" t="s">
        <v>22</v>
      </c>
      <c r="E1614" s="24" t="s">
        <v>23</v>
      </c>
      <c r="F1614" s="24" t="s">
        <v>24</v>
      </c>
    </row>
    <row r="1615" spans="1:10" ht="14.1" customHeight="1" thickBot="1" x14ac:dyDescent="0.3">
      <c r="A1615" s="26" t="s">
        <v>308</v>
      </c>
      <c r="B1615" s="26" t="s">
        <v>308</v>
      </c>
      <c r="C1615" s="26" t="s">
        <v>64</v>
      </c>
      <c r="D1615" s="26" t="s">
        <v>28</v>
      </c>
      <c r="E1615" s="26" t="s">
        <v>54</v>
      </c>
      <c r="F1615" s="26"/>
    </row>
    <row r="1616" spans="1:10" ht="14.1" customHeight="1" thickBot="1" x14ac:dyDescent="0.3">
      <c r="A1616" s="43" t="s">
        <v>30</v>
      </c>
      <c r="B1616" s="27" t="s">
        <v>31</v>
      </c>
      <c r="C1616" s="28">
        <v>44652</v>
      </c>
      <c r="D1616" s="43" t="s">
        <v>32</v>
      </c>
      <c r="E1616" s="29" t="s">
        <v>33</v>
      </c>
      <c r="F1616" s="30" t="s">
        <v>34</v>
      </c>
    </row>
    <row r="1617" spans="1:10" ht="14.1" customHeight="1" thickBot="1" x14ac:dyDescent="0.3">
      <c r="A1617" s="44"/>
      <c r="B1617" s="27" t="s">
        <v>35</v>
      </c>
      <c r="C1617" s="31">
        <f>IF(C1616="","",IF(AND(MONTH(C1616)&gt;=1,MONTH(C1616)&lt;=3),1,IF(AND(MONTH(C1616)&gt;=4,MONTH(C1616)&lt;=6),2,IF(AND(MONTH(C1616)&gt;=7,MONTH(C1616)&lt;=9),3,4))))</f>
        <v>2</v>
      </c>
      <c r="D1617" s="44"/>
      <c r="E1617" s="29" t="s">
        <v>36</v>
      </c>
      <c r="F1617" s="30"/>
    </row>
    <row r="1618" spans="1:10" ht="14.1" customHeight="1" thickBot="1" x14ac:dyDescent="0.3">
      <c r="A1618" s="44"/>
      <c r="B1618" s="27" t="s">
        <v>37</v>
      </c>
      <c r="C1618" s="28">
        <v>44742</v>
      </c>
      <c r="D1618" s="44"/>
      <c r="E1618" s="29" t="s">
        <v>38</v>
      </c>
      <c r="F1618" s="30"/>
    </row>
    <row r="1619" spans="1:10" ht="14.1" customHeight="1" thickBot="1" x14ac:dyDescent="0.3">
      <c r="A1619" s="44"/>
      <c r="B1619" s="27" t="s">
        <v>35</v>
      </c>
      <c r="C1619" s="31">
        <f>IF(C1618="","",IF(AND(MONTH(C1618)&gt;=1,MONTH(C1618)&lt;=3),1,IF(AND(MONTH(C1618)&gt;=4,MONTH(C1618)&lt;=6),2,IF(AND(MONTH(C1618)&gt;=7,MONTH(C1618)&lt;=9),3,4))))</f>
        <v>2</v>
      </c>
      <c r="D1619" s="44"/>
      <c r="E1619" s="29" t="s">
        <v>39</v>
      </c>
      <c r="F1619" s="30"/>
    </row>
    <row r="1620" spans="1:10" ht="14.1" customHeight="1" x14ac:dyDescent="0.25"/>
    <row r="1621" spans="1:10" ht="14.1" customHeight="1" thickBot="1" x14ac:dyDescent="0.3">
      <c r="A1621" s="32" t="s">
        <v>40</v>
      </c>
      <c r="B1621" s="32" t="s">
        <v>41</v>
      </c>
      <c r="C1621" s="32" t="s">
        <v>42</v>
      </c>
      <c r="D1621" s="32" t="s">
        <v>43</v>
      </c>
      <c r="E1621" s="32" t="s">
        <v>44</v>
      </c>
      <c r="F1621" s="32" t="s">
        <v>45</v>
      </c>
    </row>
    <row r="1622" spans="1:10" ht="14.1" customHeight="1" x14ac:dyDescent="0.25">
      <c r="A1622" s="33" t="s">
        <v>309</v>
      </c>
      <c r="B1622" s="34" t="str">
        <f ca="1">IFERROR(INDEX(UNSPSCDes,MATCH(INDIRECT(ADDRESS(ROW(),COLUMN()-1,4)),UNSPSCCode,0)),IF(INDIRECT(ADDRESS(ROW(),COLUMN()-1,4))="78180103","Servicios de cambio de fluidos de aceite o de la transmisión",""))</f>
        <v>Servicios de cambio de fluidos de aceite o de la transmisión</v>
      </c>
      <c r="C1622" s="35" t="str">
        <f>IFERROR(VLOOKUP("UD",'[1]Informacion '!P:Q,2,FALSE),"")</f>
        <v>Unidad</v>
      </c>
      <c r="D1622" s="33">
        <v>1</v>
      </c>
      <c r="E1622" s="36">
        <v>1000000</v>
      </c>
      <c r="F1622" s="37">
        <f ca="1">INDIRECT(ADDRESS(ROW(),COLUMN()-2,4))*INDIRECT(ADDRESS(ROW(),COLUMN()-1,4))</f>
        <v>1000000</v>
      </c>
    </row>
    <row r="1623" spans="1:10" ht="14.1" customHeight="1" x14ac:dyDescent="0.25">
      <c r="E1623" s="38" t="s">
        <v>48</v>
      </c>
      <c r="F1623" s="39">
        <f ca="1">SUM(Table92[MONTO TOTAL ESTIMADO])</f>
        <v>1000000</v>
      </c>
      <c r="H1623" s="25" t="str">
        <f>C1615</f>
        <v>Servicios</v>
      </c>
      <c r="I1623" s="25" t="str">
        <f>E1615</f>
        <v>Sí</v>
      </c>
      <c r="J1623" s="25" t="str">
        <f>D1615</f>
        <v>Compras Menores</v>
      </c>
    </row>
    <row r="1624" spans="1:10" ht="14.1" customHeight="1" x14ac:dyDescent="0.25"/>
    <row r="1625" spans="1:10" ht="34.15" customHeight="1" thickBot="1" x14ac:dyDescent="0.3">
      <c r="A1625" s="24" t="s">
        <v>19</v>
      </c>
      <c r="B1625" s="24" t="s">
        <v>20</v>
      </c>
      <c r="C1625" s="24" t="s">
        <v>21</v>
      </c>
      <c r="D1625" s="24" t="s">
        <v>22</v>
      </c>
      <c r="E1625" s="24" t="s">
        <v>23</v>
      </c>
      <c r="F1625" s="24" t="s">
        <v>24</v>
      </c>
    </row>
    <row r="1626" spans="1:10" ht="14.1" customHeight="1" thickBot="1" x14ac:dyDescent="0.3">
      <c r="A1626" s="26" t="s">
        <v>310</v>
      </c>
      <c r="B1626" s="26" t="s">
        <v>310</v>
      </c>
      <c r="C1626" s="26" t="s">
        <v>64</v>
      </c>
      <c r="D1626" s="26" t="s">
        <v>53</v>
      </c>
      <c r="E1626" s="26" t="s">
        <v>54</v>
      </c>
      <c r="F1626" s="26"/>
    </row>
    <row r="1627" spans="1:10" ht="14.1" customHeight="1" thickBot="1" x14ac:dyDescent="0.3">
      <c r="A1627" s="43" t="s">
        <v>30</v>
      </c>
      <c r="B1627" s="27" t="s">
        <v>31</v>
      </c>
      <c r="C1627" s="28">
        <v>44743</v>
      </c>
      <c r="D1627" s="43" t="s">
        <v>32</v>
      </c>
      <c r="E1627" s="29" t="s">
        <v>33</v>
      </c>
      <c r="F1627" s="30" t="s">
        <v>34</v>
      </c>
    </row>
    <row r="1628" spans="1:10" ht="14.1" customHeight="1" thickBot="1" x14ac:dyDescent="0.3">
      <c r="A1628" s="44"/>
      <c r="B1628" s="27" t="s">
        <v>35</v>
      </c>
      <c r="C1628" s="31">
        <f>IF(C1627="","",IF(AND(MONTH(C1627)&gt;=1,MONTH(C1627)&lt;=3),1,IF(AND(MONTH(C1627)&gt;=4,MONTH(C1627)&lt;=6),2,IF(AND(MONTH(C1627)&gt;=7,MONTH(C1627)&lt;=9),3,4))))</f>
        <v>3</v>
      </c>
      <c r="D1628" s="44"/>
      <c r="E1628" s="29" t="s">
        <v>36</v>
      </c>
      <c r="F1628" s="30"/>
    </row>
    <row r="1629" spans="1:10" ht="14.1" customHeight="1" thickBot="1" x14ac:dyDescent="0.3">
      <c r="A1629" s="44"/>
      <c r="B1629" s="27" t="s">
        <v>37</v>
      </c>
      <c r="C1629" s="28">
        <v>44834</v>
      </c>
      <c r="D1629" s="44"/>
      <c r="E1629" s="29" t="s">
        <v>38</v>
      </c>
      <c r="F1629" s="30"/>
    </row>
    <row r="1630" spans="1:10" ht="14.1" customHeight="1" thickBot="1" x14ac:dyDescent="0.3">
      <c r="A1630" s="44"/>
      <c r="B1630" s="27" t="s">
        <v>35</v>
      </c>
      <c r="C1630" s="31">
        <f>IF(C1629="","",IF(AND(MONTH(C1629)&gt;=1,MONTH(C1629)&lt;=3),1,IF(AND(MONTH(C1629)&gt;=4,MONTH(C1629)&lt;=6),2,IF(AND(MONTH(C1629)&gt;=7,MONTH(C1629)&lt;=9),3,4))))</f>
        <v>3</v>
      </c>
      <c r="D1630" s="44"/>
      <c r="E1630" s="29" t="s">
        <v>39</v>
      </c>
      <c r="F1630" s="30"/>
    </row>
    <row r="1631" spans="1:10" ht="14.1" customHeight="1" x14ac:dyDescent="0.25"/>
    <row r="1632" spans="1:10" ht="14.1" customHeight="1" thickBot="1" x14ac:dyDescent="0.3">
      <c r="A1632" s="32" t="s">
        <v>40</v>
      </c>
      <c r="B1632" s="32" t="s">
        <v>41</v>
      </c>
      <c r="C1632" s="32" t="s">
        <v>42</v>
      </c>
      <c r="D1632" s="32" t="s">
        <v>43</v>
      </c>
      <c r="E1632" s="32" t="s">
        <v>44</v>
      </c>
      <c r="F1632" s="32" t="s">
        <v>45</v>
      </c>
    </row>
    <row r="1633" spans="1:10" ht="14.1" customHeight="1" x14ac:dyDescent="0.25">
      <c r="A1633" s="33" t="s">
        <v>309</v>
      </c>
      <c r="B1633" s="34" t="str">
        <f ca="1">IFERROR(INDEX(UNSPSCDes,MATCH(INDIRECT(ADDRESS(ROW(),COLUMN()-1,4)),UNSPSCCode,0)),IF(INDIRECT(ADDRESS(ROW(),COLUMN()-1,4))="78180103","Servicios de cambio de fluidos de aceite o de la transmisión",""))</f>
        <v>Servicios de cambio de fluidos de aceite o de la transmisión</v>
      </c>
      <c r="C1633" s="35" t="str">
        <f>IFERROR(VLOOKUP("UD",'[1]Informacion '!P:Q,2,FALSE),"")</f>
        <v>Unidad</v>
      </c>
      <c r="D1633" s="33">
        <v>1</v>
      </c>
      <c r="E1633" s="36">
        <v>40000</v>
      </c>
      <c r="F1633" s="37">
        <f ca="1">INDIRECT(ADDRESS(ROW(),COLUMN()-2,4))*INDIRECT(ADDRESS(ROW(),COLUMN()-1,4))</f>
        <v>40000</v>
      </c>
    </row>
    <row r="1634" spans="1:10" ht="14.1" customHeight="1" x14ac:dyDescent="0.25">
      <c r="E1634" s="38" t="s">
        <v>48</v>
      </c>
      <c r="F1634" s="39">
        <f ca="1">SUM(Table93[MONTO TOTAL ESTIMADO])</f>
        <v>40000</v>
      </c>
      <c r="H1634" s="25" t="str">
        <f>C1626</f>
        <v>Servicios</v>
      </c>
      <c r="I1634" s="25" t="str">
        <f>E1626</f>
        <v>Sí</v>
      </c>
      <c r="J1634" s="25" t="str">
        <f>D1626</f>
        <v>Compras por debajo del Umbral</v>
      </c>
    </row>
    <row r="1635" spans="1:10" ht="14.1" customHeight="1" x14ac:dyDescent="0.25"/>
    <row r="1636" spans="1:10" ht="34.15" customHeight="1" thickBot="1" x14ac:dyDescent="0.3">
      <c r="A1636" s="24" t="s">
        <v>19</v>
      </c>
      <c r="B1636" s="24" t="s">
        <v>20</v>
      </c>
      <c r="C1636" s="24" t="s">
        <v>21</v>
      </c>
      <c r="D1636" s="24" t="s">
        <v>22</v>
      </c>
      <c r="E1636" s="24" t="s">
        <v>23</v>
      </c>
      <c r="F1636" s="24" t="s">
        <v>24</v>
      </c>
    </row>
    <row r="1637" spans="1:10" ht="14.1" customHeight="1" thickBot="1" x14ac:dyDescent="0.3">
      <c r="A1637" s="26" t="s">
        <v>310</v>
      </c>
      <c r="B1637" s="26" t="s">
        <v>310</v>
      </c>
      <c r="C1637" s="26" t="s">
        <v>64</v>
      </c>
      <c r="D1637" s="26" t="s">
        <v>53</v>
      </c>
      <c r="E1637" s="26" t="s">
        <v>54</v>
      </c>
      <c r="F1637" s="26"/>
    </row>
    <row r="1638" spans="1:10" ht="14.1" customHeight="1" thickBot="1" x14ac:dyDescent="0.3">
      <c r="A1638" s="43" t="s">
        <v>30</v>
      </c>
      <c r="B1638" s="27" t="s">
        <v>31</v>
      </c>
      <c r="C1638" s="28">
        <v>44835</v>
      </c>
      <c r="D1638" s="43" t="s">
        <v>32</v>
      </c>
      <c r="E1638" s="29" t="s">
        <v>33</v>
      </c>
      <c r="F1638" s="30" t="s">
        <v>34</v>
      </c>
    </row>
    <row r="1639" spans="1:10" ht="14.1" customHeight="1" thickBot="1" x14ac:dyDescent="0.3">
      <c r="A1639" s="44"/>
      <c r="B1639" s="27" t="s">
        <v>35</v>
      </c>
      <c r="C1639" s="31">
        <f>IF(C1638="","",IF(AND(MONTH(C1638)&gt;=1,MONTH(C1638)&lt;=3),1,IF(AND(MONTH(C1638)&gt;=4,MONTH(C1638)&lt;=6),2,IF(AND(MONTH(C1638)&gt;=7,MONTH(C1638)&lt;=9),3,4))))</f>
        <v>4</v>
      </c>
      <c r="D1639" s="44"/>
      <c r="E1639" s="29" t="s">
        <v>36</v>
      </c>
      <c r="F1639" s="30"/>
    </row>
    <row r="1640" spans="1:10" ht="14.1" customHeight="1" thickBot="1" x14ac:dyDescent="0.3">
      <c r="A1640" s="44"/>
      <c r="B1640" s="27" t="s">
        <v>37</v>
      </c>
      <c r="C1640" s="28">
        <v>44926</v>
      </c>
      <c r="D1640" s="44"/>
      <c r="E1640" s="29" t="s">
        <v>38</v>
      </c>
      <c r="F1640" s="30"/>
    </row>
    <row r="1641" spans="1:10" ht="14.1" customHeight="1" thickBot="1" x14ac:dyDescent="0.3">
      <c r="A1641" s="44"/>
      <c r="B1641" s="27" t="s">
        <v>35</v>
      </c>
      <c r="C1641" s="31">
        <f>IF(C1640="","",IF(AND(MONTH(C1640)&gt;=1,MONTH(C1640)&lt;=3),1,IF(AND(MONTH(C1640)&gt;=4,MONTH(C1640)&lt;=6),2,IF(AND(MONTH(C1640)&gt;=7,MONTH(C1640)&lt;=9),3,4))))</f>
        <v>4</v>
      </c>
      <c r="D1641" s="44"/>
      <c r="E1641" s="29" t="s">
        <v>39</v>
      </c>
      <c r="F1641" s="30"/>
    </row>
    <row r="1642" spans="1:10" ht="14.1" customHeight="1" x14ac:dyDescent="0.25"/>
    <row r="1643" spans="1:10" ht="14.1" customHeight="1" thickBot="1" x14ac:dyDescent="0.3">
      <c r="A1643" s="32" t="s">
        <v>40</v>
      </c>
      <c r="B1643" s="32" t="s">
        <v>41</v>
      </c>
      <c r="C1643" s="32" t="s">
        <v>42</v>
      </c>
      <c r="D1643" s="32" t="s">
        <v>43</v>
      </c>
      <c r="E1643" s="32" t="s">
        <v>44</v>
      </c>
      <c r="F1643" s="32" t="s">
        <v>45</v>
      </c>
    </row>
    <row r="1644" spans="1:10" ht="14.1" customHeight="1" x14ac:dyDescent="0.25">
      <c r="A1644" s="33" t="s">
        <v>309</v>
      </c>
      <c r="B1644" s="34" t="str">
        <f ca="1">IFERROR(INDEX(UNSPSCDes,MATCH(INDIRECT(ADDRESS(ROW(),COLUMN()-1,4)),UNSPSCCode,0)),IF(INDIRECT(ADDRESS(ROW(),COLUMN()-1,4))="78180103","Servicios de cambio de fluidos de aceite o de la transmisión",""))</f>
        <v>Servicios de cambio de fluidos de aceite o de la transmisión</v>
      </c>
      <c r="C1644" s="35" t="str">
        <f>IFERROR(VLOOKUP("UD",'[1]Informacion '!P:Q,2,FALSE),"")</f>
        <v>Unidad</v>
      </c>
      <c r="D1644" s="33">
        <v>1</v>
      </c>
      <c r="E1644" s="36">
        <v>40000</v>
      </c>
      <c r="F1644" s="37">
        <f ca="1">INDIRECT(ADDRESS(ROW(),COLUMN()-2,4))*INDIRECT(ADDRESS(ROW(),COLUMN()-1,4))</f>
        <v>40000</v>
      </c>
    </row>
    <row r="1645" spans="1:10" ht="14.1" customHeight="1" x14ac:dyDescent="0.25">
      <c r="E1645" s="38" t="s">
        <v>48</v>
      </c>
      <c r="F1645" s="39">
        <f ca="1">SUM(Table94[MONTO TOTAL ESTIMADO])</f>
        <v>40000</v>
      </c>
      <c r="H1645" s="25" t="str">
        <f>C1637</f>
        <v>Servicios</v>
      </c>
      <c r="I1645" s="25" t="str">
        <f>E1637</f>
        <v>Sí</v>
      </c>
      <c r="J1645" s="25" t="str">
        <f>D1637</f>
        <v>Compras por debajo del Umbral</v>
      </c>
    </row>
    <row r="1646" spans="1:10" ht="14.1" customHeight="1" x14ac:dyDescent="0.25"/>
    <row r="1647" spans="1:10" ht="34.15" customHeight="1" thickBot="1" x14ac:dyDescent="0.3">
      <c r="A1647" s="24" t="s">
        <v>19</v>
      </c>
      <c r="B1647" s="24" t="s">
        <v>20</v>
      </c>
      <c r="C1647" s="24" t="s">
        <v>21</v>
      </c>
      <c r="D1647" s="24" t="s">
        <v>22</v>
      </c>
      <c r="E1647" s="24" t="s">
        <v>23</v>
      </c>
      <c r="F1647" s="24" t="s">
        <v>24</v>
      </c>
    </row>
    <row r="1648" spans="1:10" ht="14.1" customHeight="1" thickBot="1" x14ac:dyDescent="0.3">
      <c r="A1648" s="26" t="s">
        <v>311</v>
      </c>
      <c r="B1648" s="26" t="s">
        <v>311</v>
      </c>
      <c r="C1648" s="26" t="s">
        <v>64</v>
      </c>
      <c r="D1648" s="26" t="s">
        <v>53</v>
      </c>
      <c r="E1648" s="26" t="s">
        <v>54</v>
      </c>
      <c r="F1648" s="26"/>
    </row>
    <row r="1649" spans="1:10" ht="14.1" customHeight="1" thickBot="1" x14ac:dyDescent="0.3">
      <c r="A1649" s="43" t="s">
        <v>30</v>
      </c>
      <c r="B1649" s="27" t="s">
        <v>31</v>
      </c>
      <c r="C1649" s="28">
        <v>44576</v>
      </c>
      <c r="D1649" s="43" t="s">
        <v>32</v>
      </c>
      <c r="E1649" s="29" t="s">
        <v>33</v>
      </c>
      <c r="F1649" s="30" t="s">
        <v>34</v>
      </c>
    </row>
    <row r="1650" spans="1:10" ht="14.1" customHeight="1" thickBot="1" x14ac:dyDescent="0.3">
      <c r="A1650" s="44"/>
      <c r="B1650" s="27" t="s">
        <v>35</v>
      </c>
      <c r="C1650" s="31">
        <f>IF(C1649="","",IF(AND(MONTH(C1649)&gt;=1,MONTH(C1649)&lt;=3),1,IF(AND(MONTH(C1649)&gt;=4,MONTH(C1649)&lt;=6),2,IF(AND(MONTH(C1649)&gt;=7,MONTH(C1649)&lt;=9),3,4))))</f>
        <v>1</v>
      </c>
      <c r="D1650" s="44"/>
      <c r="E1650" s="29" t="s">
        <v>36</v>
      </c>
      <c r="F1650" s="30"/>
    </row>
    <row r="1651" spans="1:10" ht="14.1" customHeight="1" thickBot="1" x14ac:dyDescent="0.3">
      <c r="A1651" s="44"/>
      <c r="B1651" s="27" t="s">
        <v>37</v>
      </c>
      <c r="C1651" s="28">
        <v>44651</v>
      </c>
      <c r="D1651" s="44"/>
      <c r="E1651" s="29" t="s">
        <v>38</v>
      </c>
      <c r="F1651" s="30"/>
    </row>
    <row r="1652" spans="1:10" ht="14.1" customHeight="1" thickBot="1" x14ac:dyDescent="0.3">
      <c r="A1652" s="44"/>
      <c r="B1652" s="27" t="s">
        <v>35</v>
      </c>
      <c r="C1652" s="31">
        <f>IF(C1651="","",IF(AND(MONTH(C1651)&gt;=1,MONTH(C1651)&lt;=3),1,IF(AND(MONTH(C1651)&gt;=4,MONTH(C1651)&lt;=6),2,IF(AND(MONTH(C1651)&gt;=7,MONTH(C1651)&lt;=9),3,4))))</f>
        <v>1</v>
      </c>
      <c r="D1652" s="44"/>
      <c r="E1652" s="29" t="s">
        <v>39</v>
      </c>
      <c r="F1652" s="30"/>
    </row>
    <row r="1653" spans="1:10" ht="14.1" customHeight="1" x14ac:dyDescent="0.25"/>
    <row r="1654" spans="1:10" ht="14.1" customHeight="1" thickBot="1" x14ac:dyDescent="0.3">
      <c r="A1654" s="32" t="s">
        <v>40</v>
      </c>
      <c r="B1654" s="32" t="s">
        <v>41</v>
      </c>
      <c r="C1654" s="32" t="s">
        <v>42</v>
      </c>
      <c r="D1654" s="32" t="s">
        <v>43</v>
      </c>
      <c r="E1654" s="32" t="s">
        <v>44</v>
      </c>
      <c r="F1654" s="32" t="s">
        <v>45</v>
      </c>
    </row>
    <row r="1655" spans="1:10" ht="14.1" customHeight="1" x14ac:dyDescent="0.25">
      <c r="A1655" s="33" t="s">
        <v>312</v>
      </c>
      <c r="B1655" s="34" t="str">
        <f ca="1">IFERROR(INDEX(UNSPSCDes,MATCH(INDIRECT(ADDRESS(ROW(),COLUMN()-1,4)),UNSPSCCode,0)),IF(INDIRECT(ADDRESS(ROW(),COLUMN()-1,4))="44101501","Fotocopiadoras",""))</f>
        <v>Fotocopiadoras</v>
      </c>
      <c r="C1655" s="35" t="str">
        <f>IFERROR(VLOOKUP("UD",'[1]Informacion '!P:Q,2,FALSE),"")</f>
        <v>Unidad</v>
      </c>
      <c r="D1655" s="33">
        <v>1</v>
      </c>
      <c r="E1655" s="36">
        <v>140000</v>
      </c>
      <c r="F1655" s="37">
        <f ca="1">INDIRECT(ADDRESS(ROW(),COLUMN()-2,4))*INDIRECT(ADDRESS(ROW(),COLUMN()-1,4))</f>
        <v>140000</v>
      </c>
    </row>
    <row r="1656" spans="1:10" ht="14.1" customHeight="1" x14ac:dyDescent="0.25">
      <c r="E1656" s="38" t="s">
        <v>48</v>
      </c>
      <c r="F1656" s="39">
        <f ca="1">SUM(Table95[MONTO TOTAL ESTIMADO])</f>
        <v>140000</v>
      </c>
      <c r="H1656" s="25" t="str">
        <f>C1648</f>
        <v>Servicios</v>
      </c>
      <c r="I1656" s="25" t="str">
        <f>E1648</f>
        <v>Sí</v>
      </c>
      <c r="J1656" s="25" t="str">
        <f>D1648</f>
        <v>Compras por debajo del Umbral</v>
      </c>
    </row>
    <row r="1657" spans="1:10" ht="14.1" customHeight="1" x14ac:dyDescent="0.25"/>
    <row r="1658" spans="1:10" ht="34.15" customHeight="1" thickBot="1" x14ac:dyDescent="0.3">
      <c r="A1658" s="24" t="s">
        <v>19</v>
      </c>
      <c r="B1658" s="24" t="s">
        <v>20</v>
      </c>
      <c r="C1658" s="24" t="s">
        <v>21</v>
      </c>
      <c r="D1658" s="24" t="s">
        <v>22</v>
      </c>
      <c r="E1658" s="24" t="s">
        <v>23</v>
      </c>
      <c r="F1658" s="24" t="s">
        <v>24</v>
      </c>
    </row>
    <row r="1659" spans="1:10" ht="14.1" customHeight="1" thickBot="1" x14ac:dyDescent="0.3">
      <c r="A1659" s="26" t="s">
        <v>313</v>
      </c>
      <c r="B1659" s="26" t="s">
        <v>313</v>
      </c>
      <c r="C1659" s="26" t="s">
        <v>64</v>
      </c>
      <c r="D1659" s="26" t="s">
        <v>53</v>
      </c>
      <c r="E1659" s="26" t="s">
        <v>29</v>
      </c>
      <c r="F1659" s="26"/>
    </row>
    <row r="1660" spans="1:10" ht="14.1" customHeight="1" thickBot="1" x14ac:dyDescent="0.3">
      <c r="A1660" s="43" t="s">
        <v>30</v>
      </c>
      <c r="B1660" s="27" t="s">
        <v>31</v>
      </c>
      <c r="C1660" s="28">
        <v>44835</v>
      </c>
      <c r="D1660" s="43" t="s">
        <v>32</v>
      </c>
      <c r="E1660" s="29" t="s">
        <v>33</v>
      </c>
      <c r="F1660" s="30" t="s">
        <v>34</v>
      </c>
    </row>
    <row r="1661" spans="1:10" ht="14.1" customHeight="1" thickBot="1" x14ac:dyDescent="0.3">
      <c r="A1661" s="44"/>
      <c r="B1661" s="27" t="s">
        <v>35</v>
      </c>
      <c r="C1661" s="31">
        <f>IF(C1660="","",IF(AND(MONTH(C1660)&gt;=1,MONTH(C1660)&lt;=3),1,IF(AND(MONTH(C1660)&gt;=4,MONTH(C1660)&lt;=6),2,IF(AND(MONTH(C1660)&gt;=7,MONTH(C1660)&lt;=9),3,4))))</f>
        <v>4</v>
      </c>
      <c r="D1661" s="44"/>
      <c r="E1661" s="29" t="s">
        <v>36</v>
      </c>
      <c r="F1661" s="30"/>
    </row>
    <row r="1662" spans="1:10" ht="14.1" customHeight="1" thickBot="1" x14ac:dyDescent="0.3">
      <c r="A1662" s="44"/>
      <c r="B1662" s="27" t="s">
        <v>37</v>
      </c>
      <c r="C1662" s="28">
        <v>44926</v>
      </c>
      <c r="D1662" s="44"/>
      <c r="E1662" s="29" t="s">
        <v>38</v>
      </c>
      <c r="F1662" s="30"/>
    </row>
    <row r="1663" spans="1:10" ht="14.1" customHeight="1" thickBot="1" x14ac:dyDescent="0.3">
      <c r="A1663" s="44"/>
      <c r="B1663" s="27" t="s">
        <v>35</v>
      </c>
      <c r="C1663" s="31">
        <f>IF(C1662="","",IF(AND(MONTH(C1662)&gt;=1,MONTH(C1662)&lt;=3),1,IF(AND(MONTH(C1662)&gt;=4,MONTH(C1662)&lt;=6),2,IF(AND(MONTH(C1662)&gt;=7,MONTH(C1662)&lt;=9),3,4))))</f>
        <v>4</v>
      </c>
      <c r="D1663" s="44"/>
      <c r="E1663" s="29" t="s">
        <v>39</v>
      </c>
      <c r="F1663" s="30"/>
    </row>
    <row r="1664" spans="1:10" ht="14.1" customHeight="1" x14ac:dyDescent="0.25"/>
    <row r="1665" spans="1:10" ht="14.1" customHeight="1" thickBot="1" x14ac:dyDescent="0.3">
      <c r="A1665" s="32" t="s">
        <v>40</v>
      </c>
      <c r="B1665" s="32" t="s">
        <v>41</v>
      </c>
      <c r="C1665" s="32" t="s">
        <v>42</v>
      </c>
      <c r="D1665" s="32" t="s">
        <v>43</v>
      </c>
      <c r="E1665" s="32" t="s">
        <v>44</v>
      </c>
      <c r="F1665" s="32" t="s">
        <v>45</v>
      </c>
    </row>
    <row r="1666" spans="1:10" ht="14.1" customHeight="1" x14ac:dyDescent="0.25">
      <c r="A1666" s="33" t="s">
        <v>314</v>
      </c>
      <c r="B1666" s="34" t="str">
        <f ca="1">IFERROR(INDEX(UNSPSCDes,MATCH(INDIRECT(ADDRESS(ROW(),COLUMN()-1,4)),UNSPSCCode,0)),IF(INDIRECT(ADDRESS(ROW(),COLUMN()-1,4))="82121801","Publicación de libros de texto o de investigación",""))</f>
        <v>Publicación de libros de texto o de investigación</v>
      </c>
      <c r="C1666" s="35" t="str">
        <f>IFERROR(VLOOKUP("UD",'[1]Informacion '!P:Q,2,FALSE),"")</f>
        <v>Unidad</v>
      </c>
      <c r="D1666" s="33">
        <v>1</v>
      </c>
      <c r="E1666" s="36">
        <v>4000</v>
      </c>
      <c r="F1666" s="37">
        <f ca="1">INDIRECT(ADDRESS(ROW(),COLUMN()-2,4))*INDIRECT(ADDRESS(ROW(),COLUMN()-1,4))</f>
        <v>4000</v>
      </c>
    </row>
    <row r="1667" spans="1:10" ht="14.1" customHeight="1" x14ac:dyDescent="0.25">
      <c r="A1667" s="33" t="s">
        <v>314</v>
      </c>
      <c r="B1667" s="34" t="str">
        <f ca="1">IFERROR(INDEX(UNSPSCDes,MATCH(INDIRECT(ADDRESS(ROW(),COLUMN()-1,4)),UNSPSCCode,0)),IF(INDIRECT(ADDRESS(ROW(),COLUMN()-1,4))="82121801","Publicación de libros de texto o de investigación",""))</f>
        <v>Publicación de libros de texto o de investigación</v>
      </c>
      <c r="C1667" s="35" t="str">
        <f>IFERROR(VLOOKUP("UD",'[1]Informacion '!P:Q,2,FALSE),"")</f>
        <v>Unidad</v>
      </c>
      <c r="D1667" s="33">
        <v>1</v>
      </c>
      <c r="E1667" s="36">
        <v>4000</v>
      </c>
      <c r="F1667" s="37">
        <f ca="1">INDIRECT(ADDRESS(ROW(),COLUMN()-2,4))*INDIRECT(ADDRESS(ROW(),COLUMN()-1,4))</f>
        <v>4000</v>
      </c>
    </row>
    <row r="1668" spans="1:10" ht="14.1" customHeight="1" x14ac:dyDescent="0.25">
      <c r="A1668" s="33" t="s">
        <v>314</v>
      </c>
      <c r="B1668" s="34" t="str">
        <f ca="1">IFERROR(INDEX(UNSPSCDes,MATCH(INDIRECT(ADDRESS(ROW(),COLUMN()-1,4)),UNSPSCCode,0)),IF(INDIRECT(ADDRESS(ROW(),COLUMN()-1,4))="82121801","Publicación de libros de texto o de investigación",""))</f>
        <v>Publicación de libros de texto o de investigación</v>
      </c>
      <c r="C1668" s="35" t="str">
        <f>IFERROR(VLOOKUP("UD",'[1]Informacion '!P:Q,2,FALSE),"")</f>
        <v>Unidad</v>
      </c>
      <c r="D1668" s="33">
        <v>1</v>
      </c>
      <c r="E1668" s="36">
        <v>4000</v>
      </c>
      <c r="F1668" s="37">
        <f ca="1">INDIRECT(ADDRESS(ROW(),COLUMN()-2,4))*INDIRECT(ADDRESS(ROW(),COLUMN()-1,4))</f>
        <v>4000</v>
      </c>
    </row>
    <row r="1669" spans="1:10" ht="14.1" customHeight="1" x14ac:dyDescent="0.25">
      <c r="A1669" s="33" t="s">
        <v>314</v>
      </c>
      <c r="B1669" s="34" t="str">
        <f ca="1">IFERROR(INDEX(UNSPSCDes,MATCH(INDIRECT(ADDRESS(ROW(),COLUMN()-1,4)),UNSPSCCode,0)),IF(INDIRECT(ADDRESS(ROW(),COLUMN()-1,4))="82121801","Publicación de libros de texto o de investigación",""))</f>
        <v>Publicación de libros de texto o de investigación</v>
      </c>
      <c r="C1669" s="35" t="str">
        <f>IFERROR(VLOOKUP("UD",'[1]Informacion '!P:Q,2,FALSE),"")</f>
        <v>Unidad</v>
      </c>
      <c r="D1669" s="33">
        <v>1</v>
      </c>
      <c r="E1669" s="36">
        <v>4000</v>
      </c>
      <c r="F1669" s="37">
        <f ca="1">INDIRECT(ADDRESS(ROW(),COLUMN()-2,4))*INDIRECT(ADDRESS(ROW(),COLUMN()-1,4))</f>
        <v>4000</v>
      </c>
    </row>
    <row r="1670" spans="1:10" ht="14.1" customHeight="1" x14ac:dyDescent="0.25">
      <c r="A1670" s="33" t="s">
        <v>314</v>
      </c>
      <c r="B1670" s="34" t="str">
        <f ca="1">IFERROR(INDEX(UNSPSCDes,MATCH(INDIRECT(ADDRESS(ROW(),COLUMN()-1,4)),UNSPSCCode,0)),IF(INDIRECT(ADDRESS(ROW(),COLUMN()-1,4))="82121801","Publicación de libros de texto o de investigación",""))</f>
        <v>Publicación de libros de texto o de investigación</v>
      </c>
      <c r="C1670" s="35" t="str">
        <f>IFERROR(VLOOKUP("UD",'[1]Informacion '!P:Q,2,FALSE),"")</f>
        <v>Unidad</v>
      </c>
      <c r="D1670" s="33">
        <v>1</v>
      </c>
      <c r="E1670" s="36">
        <v>4000</v>
      </c>
      <c r="F1670" s="37">
        <f ca="1">INDIRECT(ADDRESS(ROW(),COLUMN()-2,4))*INDIRECT(ADDRESS(ROW(),COLUMN()-1,4))</f>
        <v>4000</v>
      </c>
    </row>
    <row r="1671" spans="1:10" ht="14.1" customHeight="1" x14ac:dyDescent="0.25">
      <c r="E1671" s="38" t="s">
        <v>48</v>
      </c>
      <c r="F1671" s="39">
        <f ca="1">SUM(Table96[MONTO TOTAL ESTIMADO])</f>
        <v>20000</v>
      </c>
      <c r="H1671" s="25" t="str">
        <f>C1659</f>
        <v>Servicios</v>
      </c>
      <c r="I1671" s="25" t="str">
        <f>E1659</f>
        <v>No</v>
      </c>
      <c r="J1671" s="25" t="str">
        <f>D1659</f>
        <v>Compras por debajo del Umbral</v>
      </c>
    </row>
    <row r="1672" spans="1:10" ht="14.1" customHeight="1" x14ac:dyDescent="0.25"/>
    <row r="1673" spans="1:10" ht="34.15" customHeight="1" thickBot="1" x14ac:dyDescent="0.3">
      <c r="A1673" s="24" t="s">
        <v>19</v>
      </c>
      <c r="B1673" s="24" t="s">
        <v>20</v>
      </c>
      <c r="C1673" s="24" t="s">
        <v>21</v>
      </c>
      <c r="D1673" s="24" t="s">
        <v>22</v>
      </c>
      <c r="E1673" s="24" t="s">
        <v>23</v>
      </c>
      <c r="F1673" s="24" t="s">
        <v>24</v>
      </c>
    </row>
    <row r="1674" spans="1:10" ht="14.1" customHeight="1" thickBot="1" x14ac:dyDescent="0.3">
      <c r="A1674" s="26" t="s">
        <v>315</v>
      </c>
      <c r="B1674" s="26" t="s">
        <v>315</v>
      </c>
      <c r="C1674" s="26" t="s">
        <v>64</v>
      </c>
      <c r="D1674" s="26" t="s">
        <v>28</v>
      </c>
      <c r="E1674" s="26" t="s">
        <v>54</v>
      </c>
      <c r="F1674" s="26"/>
    </row>
    <row r="1675" spans="1:10" ht="14.1" customHeight="1" thickBot="1" x14ac:dyDescent="0.3">
      <c r="A1675" s="43" t="s">
        <v>30</v>
      </c>
      <c r="B1675" s="27" t="s">
        <v>31</v>
      </c>
      <c r="C1675" s="28">
        <v>44576</v>
      </c>
      <c r="D1675" s="43" t="s">
        <v>32</v>
      </c>
      <c r="E1675" s="29" t="s">
        <v>33</v>
      </c>
      <c r="F1675" s="30" t="s">
        <v>34</v>
      </c>
    </row>
    <row r="1676" spans="1:10" ht="14.1" customHeight="1" thickBot="1" x14ac:dyDescent="0.3">
      <c r="A1676" s="44"/>
      <c r="B1676" s="27" t="s">
        <v>35</v>
      </c>
      <c r="C1676" s="31">
        <f>IF(C1675="","",IF(AND(MONTH(C1675)&gt;=1,MONTH(C1675)&lt;=3),1,IF(AND(MONTH(C1675)&gt;=4,MONTH(C1675)&lt;=6),2,IF(AND(MONTH(C1675)&gt;=7,MONTH(C1675)&lt;=9),3,4))))</f>
        <v>1</v>
      </c>
      <c r="D1676" s="44"/>
      <c r="E1676" s="29" t="s">
        <v>36</v>
      </c>
      <c r="F1676" s="30"/>
    </row>
    <row r="1677" spans="1:10" ht="14.1" customHeight="1" thickBot="1" x14ac:dyDescent="0.3">
      <c r="A1677" s="44"/>
      <c r="B1677" s="27" t="s">
        <v>37</v>
      </c>
      <c r="C1677" s="28">
        <v>44651</v>
      </c>
      <c r="D1677" s="44"/>
      <c r="E1677" s="29" t="s">
        <v>38</v>
      </c>
      <c r="F1677" s="30"/>
    </row>
    <row r="1678" spans="1:10" ht="14.1" customHeight="1" thickBot="1" x14ac:dyDescent="0.3">
      <c r="A1678" s="44"/>
      <c r="B1678" s="27" t="s">
        <v>35</v>
      </c>
      <c r="C1678" s="31">
        <f>IF(C1677="","",IF(AND(MONTH(C1677)&gt;=1,MONTH(C1677)&lt;=3),1,IF(AND(MONTH(C1677)&gt;=4,MONTH(C1677)&lt;=6),2,IF(AND(MONTH(C1677)&gt;=7,MONTH(C1677)&lt;=9),3,4))))</f>
        <v>1</v>
      </c>
      <c r="D1678" s="44"/>
      <c r="E1678" s="29" t="s">
        <v>39</v>
      </c>
      <c r="F1678" s="30"/>
    </row>
    <row r="1679" spans="1:10" ht="14.1" customHeight="1" x14ac:dyDescent="0.25"/>
    <row r="1680" spans="1:10" ht="14.1" customHeight="1" thickBot="1" x14ac:dyDescent="0.3">
      <c r="A1680" s="32" t="s">
        <v>40</v>
      </c>
      <c r="B1680" s="32" t="s">
        <v>41</v>
      </c>
      <c r="C1680" s="32" t="s">
        <v>42</v>
      </c>
      <c r="D1680" s="32" t="s">
        <v>43</v>
      </c>
      <c r="E1680" s="32" t="s">
        <v>44</v>
      </c>
      <c r="F1680" s="32" t="s">
        <v>45</v>
      </c>
    </row>
    <row r="1681" spans="1:10" ht="14.1" customHeight="1" x14ac:dyDescent="0.25">
      <c r="A1681" s="33" t="s">
        <v>316</v>
      </c>
      <c r="B1681" s="34" t="str">
        <f ca="1">IFERROR(INDEX(UNSPSCDes,MATCH(INDIRECT(ADDRESS(ROW(),COLUMN()-1,4)),UNSPSCCode,0)),IF(INDIRECT(ADDRESS(ROW(),COLUMN()-1,4))="84131517","Seguro de viaje",""))</f>
        <v>Seguro de viaje</v>
      </c>
      <c r="C1681" s="35" t="str">
        <f>IFERROR(VLOOKUP("UD",'[1]Informacion '!P:Q,2,FALSE),"")</f>
        <v>Unidad</v>
      </c>
      <c r="D1681" s="33">
        <v>1</v>
      </c>
      <c r="E1681" s="36">
        <v>100000</v>
      </c>
      <c r="F1681" s="37">
        <f ca="1">INDIRECT(ADDRESS(ROW(),COLUMN()-2,4))*INDIRECT(ADDRESS(ROW(),COLUMN()-1,4))</f>
        <v>100000</v>
      </c>
    </row>
    <row r="1682" spans="1:10" ht="14.1" customHeight="1" x14ac:dyDescent="0.25">
      <c r="A1682" s="33" t="s">
        <v>317</v>
      </c>
      <c r="B1682" s="34" t="str">
        <f ca="1">IFERROR(INDEX(UNSPSCDes,MATCH(INDIRECT(ADDRESS(ROW(),COLUMN()-1,4)),UNSPSCCode,0)),IF(INDIRECT(ADDRESS(ROW(),COLUMN()-1,4))="78111502","Viajes en aviones comerciales",""))</f>
        <v>Viajes en aviones comerciales</v>
      </c>
      <c r="C1682" s="35" t="str">
        <f>IFERROR(VLOOKUP("UD",'[1]Informacion '!P:Q,2,FALSE),"")</f>
        <v>Unidad</v>
      </c>
      <c r="D1682" s="33">
        <v>1</v>
      </c>
      <c r="E1682" s="36">
        <v>750000</v>
      </c>
      <c r="F1682" s="37">
        <f ca="1">INDIRECT(ADDRESS(ROW(),COLUMN()-2,4))*INDIRECT(ADDRESS(ROW(),COLUMN()-1,4))</f>
        <v>750000</v>
      </c>
    </row>
    <row r="1683" spans="1:10" ht="14.1" customHeight="1" x14ac:dyDescent="0.25">
      <c r="E1683" s="38" t="s">
        <v>48</v>
      </c>
      <c r="F1683" s="39">
        <f ca="1">SUM(Table97[MONTO TOTAL ESTIMADO])</f>
        <v>850000</v>
      </c>
      <c r="H1683" s="25" t="str">
        <f>C1674</f>
        <v>Servicios</v>
      </c>
      <c r="I1683" s="25" t="str">
        <f>E1674</f>
        <v>Sí</v>
      </c>
      <c r="J1683" s="25" t="str">
        <f>D1674</f>
        <v>Compras Menores</v>
      </c>
    </row>
    <row r="1684" spans="1:10" ht="14.1" customHeight="1" x14ac:dyDescent="0.25"/>
    <row r="1685" spans="1:10" ht="34.15" customHeight="1" thickBot="1" x14ac:dyDescent="0.3">
      <c r="A1685" s="24" t="s">
        <v>19</v>
      </c>
      <c r="B1685" s="24" t="s">
        <v>20</v>
      </c>
      <c r="C1685" s="24" t="s">
        <v>21</v>
      </c>
      <c r="D1685" s="24" t="s">
        <v>22</v>
      </c>
      <c r="E1685" s="24" t="s">
        <v>23</v>
      </c>
      <c r="F1685" s="24" t="s">
        <v>24</v>
      </c>
    </row>
    <row r="1686" spans="1:10" ht="14.1" customHeight="1" thickBot="1" x14ac:dyDescent="0.3">
      <c r="A1686" s="26" t="s">
        <v>318</v>
      </c>
      <c r="B1686" s="26" t="s">
        <v>318</v>
      </c>
      <c r="C1686" s="26" t="s">
        <v>64</v>
      </c>
      <c r="D1686" s="26" t="s">
        <v>28</v>
      </c>
      <c r="E1686" s="26" t="s">
        <v>54</v>
      </c>
      <c r="F1686" s="26"/>
    </row>
    <row r="1687" spans="1:10" ht="14.1" customHeight="1" thickBot="1" x14ac:dyDescent="0.3">
      <c r="A1687" s="43" t="s">
        <v>30</v>
      </c>
      <c r="B1687" s="27" t="s">
        <v>31</v>
      </c>
      <c r="C1687" s="28">
        <v>44743</v>
      </c>
      <c r="D1687" s="43" t="s">
        <v>32</v>
      </c>
      <c r="E1687" s="29" t="s">
        <v>33</v>
      </c>
      <c r="F1687" s="30" t="s">
        <v>34</v>
      </c>
    </row>
    <row r="1688" spans="1:10" ht="14.1" customHeight="1" thickBot="1" x14ac:dyDescent="0.3">
      <c r="A1688" s="44"/>
      <c r="B1688" s="27" t="s">
        <v>35</v>
      </c>
      <c r="C1688" s="31">
        <f>IF(C1687="","",IF(AND(MONTH(C1687)&gt;=1,MONTH(C1687)&lt;=3),1,IF(AND(MONTH(C1687)&gt;=4,MONTH(C1687)&lt;=6),2,IF(AND(MONTH(C1687)&gt;=7,MONTH(C1687)&lt;=9),3,4))))</f>
        <v>3</v>
      </c>
      <c r="D1688" s="44"/>
      <c r="E1688" s="29" t="s">
        <v>36</v>
      </c>
      <c r="F1688" s="30"/>
    </row>
    <row r="1689" spans="1:10" ht="14.1" customHeight="1" thickBot="1" x14ac:dyDescent="0.3">
      <c r="A1689" s="44"/>
      <c r="B1689" s="27" t="s">
        <v>37</v>
      </c>
      <c r="C1689" s="28">
        <v>44834</v>
      </c>
      <c r="D1689" s="44"/>
      <c r="E1689" s="29" t="s">
        <v>38</v>
      </c>
      <c r="F1689" s="30"/>
    </row>
    <row r="1690" spans="1:10" ht="14.1" customHeight="1" thickBot="1" x14ac:dyDescent="0.3">
      <c r="A1690" s="44"/>
      <c r="B1690" s="27" t="s">
        <v>35</v>
      </c>
      <c r="C1690" s="31">
        <f>IF(C1689="","",IF(AND(MONTH(C1689)&gt;=1,MONTH(C1689)&lt;=3),1,IF(AND(MONTH(C1689)&gt;=4,MONTH(C1689)&lt;=6),2,IF(AND(MONTH(C1689)&gt;=7,MONTH(C1689)&lt;=9),3,4))))</f>
        <v>3</v>
      </c>
      <c r="D1690" s="44"/>
      <c r="E1690" s="29" t="s">
        <v>39</v>
      </c>
      <c r="F1690" s="30"/>
    </row>
    <row r="1691" spans="1:10" ht="14.1" customHeight="1" x14ac:dyDescent="0.25"/>
    <row r="1692" spans="1:10" ht="14.1" customHeight="1" thickBot="1" x14ac:dyDescent="0.3">
      <c r="A1692" s="32" t="s">
        <v>40</v>
      </c>
      <c r="B1692" s="32" t="s">
        <v>41</v>
      </c>
      <c r="C1692" s="32" t="s">
        <v>42</v>
      </c>
      <c r="D1692" s="32" t="s">
        <v>43</v>
      </c>
      <c r="E1692" s="32" t="s">
        <v>44</v>
      </c>
      <c r="F1692" s="32" t="s">
        <v>45</v>
      </c>
    </row>
    <row r="1693" spans="1:10" ht="14.1" customHeight="1" x14ac:dyDescent="0.25">
      <c r="A1693" s="33" t="s">
        <v>316</v>
      </c>
      <c r="B1693" s="34" t="str">
        <f ca="1">IFERROR(INDEX(UNSPSCDes,MATCH(INDIRECT(ADDRESS(ROW(),COLUMN()-1,4)),UNSPSCCode,0)),IF(INDIRECT(ADDRESS(ROW(),COLUMN()-1,4))="84131517","Seguro de viaje",""))</f>
        <v>Seguro de viaje</v>
      </c>
      <c r="C1693" s="35" t="str">
        <f>IFERROR(VLOOKUP("UD",'[1]Informacion '!P:Q,2,FALSE),"")</f>
        <v>Unidad</v>
      </c>
      <c r="D1693" s="33">
        <v>1</v>
      </c>
      <c r="E1693" s="36">
        <v>100000</v>
      </c>
      <c r="F1693" s="37">
        <f ca="1">INDIRECT(ADDRESS(ROW(),COLUMN()-2,4))*INDIRECT(ADDRESS(ROW(),COLUMN()-1,4))</f>
        <v>100000</v>
      </c>
    </row>
    <row r="1694" spans="1:10" ht="14.1" customHeight="1" x14ac:dyDescent="0.25">
      <c r="A1694" s="33" t="s">
        <v>317</v>
      </c>
      <c r="B1694" s="34" t="str">
        <f ca="1">IFERROR(INDEX(UNSPSCDes,MATCH(INDIRECT(ADDRESS(ROW(),COLUMN()-1,4)),UNSPSCCode,0)),IF(INDIRECT(ADDRESS(ROW(),COLUMN()-1,4))="78111502","Viajes en aviones comerciales",""))</f>
        <v>Viajes en aviones comerciales</v>
      </c>
      <c r="C1694" s="35" t="str">
        <f>IFERROR(VLOOKUP("UD",'[1]Informacion '!P:Q,2,FALSE),"")</f>
        <v>Unidad</v>
      </c>
      <c r="D1694" s="33">
        <v>1</v>
      </c>
      <c r="E1694" s="36">
        <v>750000</v>
      </c>
      <c r="F1694" s="37">
        <f ca="1">INDIRECT(ADDRESS(ROW(),COLUMN()-2,4))*INDIRECT(ADDRESS(ROW(),COLUMN()-1,4))</f>
        <v>750000</v>
      </c>
    </row>
    <row r="1695" spans="1:10" ht="14.1" customHeight="1" x14ac:dyDescent="0.25">
      <c r="E1695" s="38" t="s">
        <v>48</v>
      </c>
      <c r="F1695" s="39">
        <f ca="1">SUM(Table98[MONTO TOTAL ESTIMADO])</f>
        <v>850000</v>
      </c>
      <c r="H1695" s="25" t="str">
        <f>C1686</f>
        <v>Servicios</v>
      </c>
      <c r="I1695" s="25" t="str">
        <f>E1686</f>
        <v>Sí</v>
      </c>
      <c r="J1695" s="25" t="str">
        <f>D1686</f>
        <v>Compras Menores</v>
      </c>
    </row>
    <row r="1696" spans="1:10" ht="14.1" customHeight="1" x14ac:dyDescent="0.25"/>
    <row r="1697" spans="1:10" ht="34.15" customHeight="1" thickBot="1" x14ac:dyDescent="0.3">
      <c r="A1697" s="24" t="s">
        <v>19</v>
      </c>
      <c r="B1697" s="24" t="s">
        <v>20</v>
      </c>
      <c r="C1697" s="24" t="s">
        <v>21</v>
      </c>
      <c r="D1697" s="24" t="s">
        <v>22</v>
      </c>
      <c r="E1697" s="24" t="s">
        <v>23</v>
      </c>
      <c r="F1697" s="24" t="s">
        <v>24</v>
      </c>
    </row>
    <row r="1698" spans="1:10" ht="14.1" customHeight="1" thickBot="1" x14ac:dyDescent="0.3">
      <c r="A1698" s="26" t="s">
        <v>319</v>
      </c>
      <c r="B1698" s="26" t="s">
        <v>319</v>
      </c>
      <c r="C1698" s="26" t="s">
        <v>64</v>
      </c>
      <c r="D1698" s="26" t="s">
        <v>78</v>
      </c>
      <c r="E1698" s="26" t="s">
        <v>54</v>
      </c>
      <c r="F1698" s="26"/>
    </row>
    <row r="1699" spans="1:10" ht="14.1" customHeight="1" thickBot="1" x14ac:dyDescent="0.3">
      <c r="A1699" s="43" t="s">
        <v>30</v>
      </c>
      <c r="B1699" s="27" t="s">
        <v>31</v>
      </c>
      <c r="C1699" s="28">
        <v>44576</v>
      </c>
      <c r="D1699" s="43" t="s">
        <v>32</v>
      </c>
      <c r="E1699" s="29" t="s">
        <v>33</v>
      </c>
      <c r="F1699" s="30" t="s">
        <v>34</v>
      </c>
    </row>
    <row r="1700" spans="1:10" ht="14.1" customHeight="1" thickBot="1" x14ac:dyDescent="0.3">
      <c r="A1700" s="44"/>
      <c r="B1700" s="27" t="s">
        <v>35</v>
      </c>
      <c r="C1700" s="31">
        <f>IF(C1699="","",IF(AND(MONTH(C1699)&gt;=1,MONTH(C1699)&lt;=3),1,IF(AND(MONTH(C1699)&gt;=4,MONTH(C1699)&lt;=6),2,IF(AND(MONTH(C1699)&gt;=7,MONTH(C1699)&lt;=9),3,4))))</f>
        <v>1</v>
      </c>
      <c r="D1700" s="44"/>
      <c r="E1700" s="29" t="s">
        <v>36</v>
      </c>
      <c r="F1700" s="30"/>
    </row>
    <row r="1701" spans="1:10" ht="14.1" customHeight="1" thickBot="1" x14ac:dyDescent="0.3">
      <c r="A1701" s="44"/>
      <c r="B1701" s="27" t="s">
        <v>37</v>
      </c>
      <c r="C1701" s="28">
        <v>44651</v>
      </c>
      <c r="D1701" s="44"/>
      <c r="E1701" s="29" t="s">
        <v>38</v>
      </c>
      <c r="F1701" s="30"/>
    </row>
    <row r="1702" spans="1:10" ht="14.1" customHeight="1" thickBot="1" x14ac:dyDescent="0.3">
      <c r="A1702" s="44"/>
      <c r="B1702" s="27" t="s">
        <v>35</v>
      </c>
      <c r="C1702" s="31">
        <f>IF(C1701="","",IF(AND(MONTH(C1701)&gt;=1,MONTH(C1701)&lt;=3),1,IF(AND(MONTH(C1701)&gt;=4,MONTH(C1701)&lt;=6),2,IF(AND(MONTH(C1701)&gt;=7,MONTH(C1701)&lt;=9),3,4))))</f>
        <v>1</v>
      </c>
      <c r="D1702" s="44"/>
      <c r="E1702" s="29" t="s">
        <v>39</v>
      </c>
      <c r="F1702" s="30"/>
    </row>
    <row r="1703" spans="1:10" ht="14.1" customHeight="1" x14ac:dyDescent="0.25"/>
    <row r="1704" spans="1:10" ht="14.1" customHeight="1" thickBot="1" x14ac:dyDescent="0.3">
      <c r="A1704" s="32" t="s">
        <v>40</v>
      </c>
      <c r="B1704" s="32" t="s">
        <v>41</v>
      </c>
      <c r="C1704" s="32" t="s">
        <v>42</v>
      </c>
      <c r="D1704" s="32" t="s">
        <v>43</v>
      </c>
      <c r="E1704" s="32" t="s">
        <v>44</v>
      </c>
      <c r="F1704" s="32" t="s">
        <v>45</v>
      </c>
    </row>
    <row r="1705" spans="1:10" ht="14.1" customHeight="1" x14ac:dyDescent="0.25">
      <c r="A1705" s="33" t="s">
        <v>320</v>
      </c>
      <c r="B1705" s="34" t="str">
        <f ca="1">IFERROR(INDEX(UNSPSCDes,MATCH(INDIRECT(ADDRESS(ROW(),COLUMN()-1,4)),UNSPSCCode,0)),IF(INDIRECT(ADDRESS(ROW(),COLUMN()-1,4))="81111805","Mantenimiento o soporte de sistemas patentados o autorizados",""))</f>
        <v>Mantenimiento o soporte de sistemas patentados o autorizados</v>
      </c>
      <c r="C1705" s="35" t="str">
        <f>IFERROR(VLOOKUP("UD",'[1]Informacion '!P:Q,2,FALSE),"")</f>
        <v>Unidad</v>
      </c>
      <c r="D1705" s="33">
        <v>1</v>
      </c>
      <c r="E1705" s="36">
        <v>100000</v>
      </c>
      <c r="F1705" s="37">
        <f ca="1">INDIRECT(ADDRESS(ROW(),COLUMN()-2,4))*INDIRECT(ADDRESS(ROW(),COLUMN()-1,4))</f>
        <v>100000</v>
      </c>
    </row>
    <row r="1706" spans="1:10" ht="14.1" customHeight="1" x14ac:dyDescent="0.25">
      <c r="A1706" s="33" t="s">
        <v>321</v>
      </c>
      <c r="B1706" s="34" t="str">
        <f ca="1">IFERROR(INDEX(UNSPSCDes,MATCH(INDIRECT(ADDRESS(ROW(),COLUMN()-1,4)),UNSPSCCode,0)),IF(INDIRECT(ADDRESS(ROW(),COLUMN()-1,4))="80101504","Servicios de asesoramiento sobre planificación estratégica",""))</f>
        <v>Servicios de asesoramiento sobre planificación estratégica</v>
      </c>
      <c r="C1706" s="35" t="str">
        <f>IFERROR(VLOOKUP("UD",'[1]Informacion '!P:Q,2,FALSE),"")</f>
        <v>Unidad</v>
      </c>
      <c r="D1706" s="33">
        <v>1</v>
      </c>
      <c r="E1706" s="36">
        <v>1100000</v>
      </c>
      <c r="F1706" s="37">
        <f ca="1">INDIRECT(ADDRESS(ROW(),COLUMN()-2,4))*INDIRECT(ADDRESS(ROW(),COLUMN()-1,4))</f>
        <v>1100000</v>
      </c>
    </row>
    <row r="1707" spans="1:10" ht="14.1" customHeight="1" x14ac:dyDescent="0.25">
      <c r="A1707" s="33" t="s">
        <v>322</v>
      </c>
      <c r="B1707" s="34" t="str">
        <f ca="1">IFERROR(INDEX(UNSPSCDes,MATCH(INDIRECT(ADDRESS(ROW(),COLUMN()-1,4)),UNSPSCCode,0)),IF(INDIRECT(ADDRESS(ROW(),COLUMN()-1,4))="80121609","Servicios de investigación legal",""))</f>
        <v>Servicios de investigación legal</v>
      </c>
      <c r="C1707" s="35" t="str">
        <f>IFERROR(VLOOKUP("UD",'[1]Informacion '!P:Q,2,FALSE),"")</f>
        <v>Unidad</v>
      </c>
      <c r="D1707" s="33">
        <v>1</v>
      </c>
      <c r="E1707" s="36">
        <v>400000</v>
      </c>
      <c r="F1707" s="37">
        <f ca="1">INDIRECT(ADDRESS(ROW(),COLUMN()-2,4))*INDIRECT(ADDRESS(ROW(),COLUMN()-1,4))</f>
        <v>400000</v>
      </c>
    </row>
    <row r="1708" spans="1:10" ht="14.1" customHeight="1" x14ac:dyDescent="0.25">
      <c r="E1708" s="38" t="s">
        <v>48</v>
      </c>
      <c r="F1708" s="39">
        <f ca="1">SUM(Table99[MONTO TOTAL ESTIMADO])</f>
        <v>1600000</v>
      </c>
      <c r="H1708" s="25" t="str">
        <f>C1698</f>
        <v>Servicios</v>
      </c>
      <c r="I1708" s="25" t="str">
        <f>E1698</f>
        <v>Sí</v>
      </c>
      <c r="J1708" s="25" t="str">
        <f>D1698</f>
        <v>Comparacion de Precios</v>
      </c>
    </row>
    <row r="1709" spans="1:10" ht="14.1" customHeight="1" x14ac:dyDescent="0.25"/>
    <row r="1710" spans="1:10" ht="34.15" customHeight="1" thickBot="1" x14ac:dyDescent="0.3">
      <c r="A1710" s="24" t="s">
        <v>19</v>
      </c>
      <c r="B1710" s="24" t="s">
        <v>20</v>
      </c>
      <c r="C1710" s="24" t="s">
        <v>21</v>
      </c>
      <c r="D1710" s="24" t="s">
        <v>22</v>
      </c>
      <c r="E1710" s="24" t="s">
        <v>23</v>
      </c>
      <c r="F1710" s="24" t="s">
        <v>24</v>
      </c>
    </row>
    <row r="1711" spans="1:10" ht="14.1" customHeight="1" thickBot="1" x14ac:dyDescent="0.3">
      <c r="A1711" s="26" t="s">
        <v>319</v>
      </c>
      <c r="B1711" s="26" t="s">
        <v>319</v>
      </c>
      <c r="C1711" s="26" t="s">
        <v>64</v>
      </c>
      <c r="D1711" s="26" t="s">
        <v>78</v>
      </c>
      <c r="E1711" s="26" t="s">
        <v>54</v>
      </c>
      <c r="F1711" s="26"/>
    </row>
    <row r="1712" spans="1:10" ht="14.1" customHeight="1" thickBot="1" x14ac:dyDescent="0.3">
      <c r="A1712" s="43" t="s">
        <v>30</v>
      </c>
      <c r="B1712" s="27" t="s">
        <v>31</v>
      </c>
      <c r="C1712" s="28">
        <v>44652</v>
      </c>
      <c r="D1712" s="43" t="s">
        <v>32</v>
      </c>
      <c r="E1712" s="29" t="s">
        <v>33</v>
      </c>
      <c r="F1712" s="30" t="s">
        <v>34</v>
      </c>
    </row>
    <row r="1713" spans="1:10" ht="14.1" customHeight="1" thickBot="1" x14ac:dyDescent="0.3">
      <c r="A1713" s="44"/>
      <c r="B1713" s="27" t="s">
        <v>35</v>
      </c>
      <c r="C1713" s="31">
        <f>IF(C1712="","",IF(AND(MONTH(C1712)&gt;=1,MONTH(C1712)&lt;=3),1,IF(AND(MONTH(C1712)&gt;=4,MONTH(C1712)&lt;=6),2,IF(AND(MONTH(C1712)&gt;=7,MONTH(C1712)&lt;=9),3,4))))</f>
        <v>2</v>
      </c>
      <c r="D1713" s="44"/>
      <c r="E1713" s="29" t="s">
        <v>36</v>
      </c>
      <c r="F1713" s="30"/>
    </row>
    <row r="1714" spans="1:10" ht="14.1" customHeight="1" thickBot="1" x14ac:dyDescent="0.3">
      <c r="A1714" s="44"/>
      <c r="B1714" s="27" t="s">
        <v>37</v>
      </c>
      <c r="C1714" s="28">
        <v>44742</v>
      </c>
      <c r="D1714" s="44"/>
      <c r="E1714" s="29" t="s">
        <v>38</v>
      </c>
      <c r="F1714" s="30"/>
    </row>
    <row r="1715" spans="1:10" ht="14.1" customHeight="1" thickBot="1" x14ac:dyDescent="0.3">
      <c r="A1715" s="44"/>
      <c r="B1715" s="27" t="s">
        <v>35</v>
      </c>
      <c r="C1715" s="31">
        <f>IF(C1714="","",IF(AND(MONTH(C1714)&gt;=1,MONTH(C1714)&lt;=3),1,IF(AND(MONTH(C1714)&gt;=4,MONTH(C1714)&lt;=6),2,IF(AND(MONTH(C1714)&gt;=7,MONTH(C1714)&lt;=9),3,4))))</f>
        <v>2</v>
      </c>
      <c r="D1715" s="44"/>
      <c r="E1715" s="29" t="s">
        <v>39</v>
      </c>
      <c r="F1715" s="30"/>
    </row>
    <row r="1716" spans="1:10" ht="14.1" customHeight="1" x14ac:dyDescent="0.25"/>
    <row r="1717" spans="1:10" ht="14.1" customHeight="1" thickBot="1" x14ac:dyDescent="0.3">
      <c r="A1717" s="32" t="s">
        <v>40</v>
      </c>
      <c r="B1717" s="32" t="s">
        <v>41</v>
      </c>
      <c r="C1717" s="32" t="s">
        <v>42</v>
      </c>
      <c r="D1717" s="32" t="s">
        <v>43</v>
      </c>
      <c r="E1717" s="32" t="s">
        <v>44</v>
      </c>
      <c r="F1717" s="32" t="s">
        <v>45</v>
      </c>
    </row>
    <row r="1718" spans="1:10" ht="14.1" customHeight="1" x14ac:dyDescent="0.25">
      <c r="A1718" s="33" t="s">
        <v>320</v>
      </c>
      <c r="B1718" s="34" t="str">
        <f ca="1">IFERROR(INDEX(UNSPSCDes,MATCH(INDIRECT(ADDRESS(ROW(),COLUMN()-1,4)),UNSPSCCode,0)),IF(INDIRECT(ADDRESS(ROW(),COLUMN()-1,4))="81111805","Mantenimiento o soporte de sistemas patentados o autorizados",""))</f>
        <v>Mantenimiento o soporte de sistemas patentados o autorizados</v>
      </c>
      <c r="C1718" s="35" t="str">
        <f>IFERROR(VLOOKUP("UD",'[1]Informacion '!P:Q,2,FALSE),"")</f>
        <v>Unidad</v>
      </c>
      <c r="D1718" s="33">
        <v>1</v>
      </c>
      <c r="E1718" s="36">
        <v>100000</v>
      </c>
      <c r="F1718" s="37">
        <f ca="1">INDIRECT(ADDRESS(ROW(),COLUMN()-2,4))*INDIRECT(ADDRESS(ROW(),COLUMN()-1,4))</f>
        <v>100000</v>
      </c>
    </row>
    <row r="1719" spans="1:10" ht="14.1" customHeight="1" x14ac:dyDescent="0.25">
      <c r="A1719" s="33" t="s">
        <v>323</v>
      </c>
      <c r="B1719" s="34" t="str">
        <f ca="1">IFERROR(INDEX(UNSPSCDes,MATCH(INDIRECT(ADDRESS(ROW(),COLUMN()-1,4)),UNSPSCCode,0)),IF(INDIRECT(ADDRESS(ROW(),COLUMN()-1,4))="81112103","Servicios de diseño de sitios web www",""))</f>
        <v>Servicios de diseño de sitios web www</v>
      </c>
      <c r="C1719" s="35" t="str">
        <f>IFERROR(VLOOKUP("UD",'[1]Informacion '!P:Q,2,FALSE),"")</f>
        <v>Unidad</v>
      </c>
      <c r="D1719" s="33">
        <v>1</v>
      </c>
      <c r="E1719" s="36">
        <v>1000000</v>
      </c>
      <c r="F1719" s="37">
        <f ca="1">INDIRECT(ADDRESS(ROW(),COLUMN()-2,4))*INDIRECT(ADDRESS(ROW(),COLUMN()-1,4))</f>
        <v>1000000</v>
      </c>
    </row>
    <row r="1720" spans="1:10" ht="14.1" customHeight="1" x14ac:dyDescent="0.25">
      <c r="E1720" s="38" t="s">
        <v>48</v>
      </c>
      <c r="F1720" s="39">
        <f ca="1">SUM(Table100[MONTO TOTAL ESTIMADO])</f>
        <v>1100000</v>
      </c>
      <c r="H1720" s="25" t="str">
        <f>C1711</f>
        <v>Servicios</v>
      </c>
      <c r="I1720" s="25" t="str">
        <f>E1711</f>
        <v>Sí</v>
      </c>
      <c r="J1720" s="25" t="str">
        <f>D1711</f>
        <v>Comparacion de Precios</v>
      </c>
    </row>
    <row r="1721" spans="1:10" ht="14.1" customHeight="1" x14ac:dyDescent="0.25"/>
    <row r="1722" spans="1:10" ht="34.15" customHeight="1" thickBot="1" x14ac:dyDescent="0.3">
      <c r="A1722" s="24" t="s">
        <v>19</v>
      </c>
      <c r="B1722" s="24" t="s">
        <v>20</v>
      </c>
      <c r="C1722" s="24" t="s">
        <v>21</v>
      </c>
      <c r="D1722" s="24" t="s">
        <v>22</v>
      </c>
      <c r="E1722" s="24" t="s">
        <v>23</v>
      </c>
      <c r="F1722" s="24" t="s">
        <v>24</v>
      </c>
    </row>
    <row r="1723" spans="1:10" ht="14.1" customHeight="1" thickBot="1" x14ac:dyDescent="0.3">
      <c r="A1723" s="26" t="s">
        <v>319</v>
      </c>
      <c r="B1723" s="26" t="s">
        <v>319</v>
      </c>
      <c r="C1723" s="26" t="s">
        <v>64</v>
      </c>
      <c r="D1723" s="26" t="s">
        <v>28</v>
      </c>
      <c r="E1723" s="26" t="s">
        <v>54</v>
      </c>
      <c r="F1723" s="26"/>
    </row>
    <row r="1724" spans="1:10" ht="14.1" customHeight="1" thickBot="1" x14ac:dyDescent="0.3">
      <c r="A1724" s="43" t="s">
        <v>30</v>
      </c>
      <c r="B1724" s="27" t="s">
        <v>31</v>
      </c>
      <c r="C1724" s="28">
        <v>44743</v>
      </c>
      <c r="D1724" s="43" t="s">
        <v>32</v>
      </c>
      <c r="E1724" s="29" t="s">
        <v>33</v>
      </c>
      <c r="F1724" s="30" t="s">
        <v>34</v>
      </c>
    </row>
    <row r="1725" spans="1:10" ht="14.1" customHeight="1" thickBot="1" x14ac:dyDescent="0.3">
      <c r="A1725" s="44"/>
      <c r="B1725" s="27" t="s">
        <v>35</v>
      </c>
      <c r="C1725" s="31">
        <f>IF(C1724="","",IF(AND(MONTH(C1724)&gt;=1,MONTH(C1724)&lt;=3),1,IF(AND(MONTH(C1724)&gt;=4,MONTH(C1724)&lt;=6),2,IF(AND(MONTH(C1724)&gt;=7,MONTH(C1724)&lt;=9),3,4))))</f>
        <v>3</v>
      </c>
      <c r="D1725" s="44"/>
      <c r="E1725" s="29" t="s">
        <v>36</v>
      </c>
      <c r="F1725" s="30"/>
    </row>
    <row r="1726" spans="1:10" ht="14.1" customHeight="1" thickBot="1" x14ac:dyDescent="0.3">
      <c r="A1726" s="44"/>
      <c r="B1726" s="27" t="s">
        <v>37</v>
      </c>
      <c r="C1726" s="28">
        <v>44834</v>
      </c>
      <c r="D1726" s="44"/>
      <c r="E1726" s="29" t="s">
        <v>38</v>
      </c>
      <c r="F1726" s="30"/>
    </row>
    <row r="1727" spans="1:10" ht="14.1" customHeight="1" thickBot="1" x14ac:dyDescent="0.3">
      <c r="A1727" s="44"/>
      <c r="B1727" s="27" t="s">
        <v>35</v>
      </c>
      <c r="C1727" s="31">
        <f>IF(C1726="","",IF(AND(MONTH(C1726)&gt;=1,MONTH(C1726)&lt;=3),1,IF(AND(MONTH(C1726)&gt;=4,MONTH(C1726)&lt;=6),2,IF(AND(MONTH(C1726)&gt;=7,MONTH(C1726)&lt;=9),3,4))))</f>
        <v>3</v>
      </c>
      <c r="D1727" s="44"/>
      <c r="E1727" s="29" t="s">
        <v>39</v>
      </c>
      <c r="F1727" s="30"/>
    </row>
    <row r="1728" spans="1:10" ht="14.1" customHeight="1" x14ac:dyDescent="0.25"/>
    <row r="1729" spans="1:10" ht="14.1" customHeight="1" thickBot="1" x14ac:dyDescent="0.3">
      <c r="A1729" s="32" t="s">
        <v>40</v>
      </c>
      <c r="B1729" s="32" t="s">
        <v>41</v>
      </c>
      <c r="C1729" s="32" t="s">
        <v>42</v>
      </c>
      <c r="D1729" s="32" t="s">
        <v>43</v>
      </c>
      <c r="E1729" s="32" t="s">
        <v>44</v>
      </c>
      <c r="F1729" s="32" t="s">
        <v>45</v>
      </c>
    </row>
    <row r="1730" spans="1:10" ht="14.1" customHeight="1" x14ac:dyDescent="0.25">
      <c r="A1730" s="33" t="s">
        <v>320</v>
      </c>
      <c r="B1730" s="34" t="str">
        <f ca="1">IFERROR(INDEX(UNSPSCDes,MATCH(INDIRECT(ADDRESS(ROW(),COLUMN()-1,4)),UNSPSCCode,0)),IF(INDIRECT(ADDRESS(ROW(),COLUMN()-1,4))="81111805","Mantenimiento o soporte de sistemas patentados o autorizados",""))</f>
        <v>Mantenimiento o soporte de sistemas patentados o autorizados</v>
      </c>
      <c r="C1730" s="35" t="str">
        <f>IFERROR(VLOOKUP("UD",'[1]Informacion '!P:Q,2,FALSE),"")</f>
        <v>Unidad</v>
      </c>
      <c r="D1730" s="33">
        <v>1</v>
      </c>
      <c r="E1730" s="36">
        <v>100000</v>
      </c>
      <c r="F1730" s="37">
        <f ca="1">INDIRECT(ADDRESS(ROW(),COLUMN()-2,4))*INDIRECT(ADDRESS(ROW(),COLUMN()-1,4))</f>
        <v>100000</v>
      </c>
    </row>
    <row r="1731" spans="1:10" ht="14.1" customHeight="1" x14ac:dyDescent="0.25">
      <c r="A1731" s="33" t="s">
        <v>320</v>
      </c>
      <c r="B1731" s="34" t="str">
        <f ca="1">IFERROR(INDEX(UNSPSCDes,MATCH(INDIRECT(ADDRESS(ROW(),COLUMN()-1,4)),UNSPSCCode,0)),IF(INDIRECT(ADDRESS(ROW(),COLUMN()-1,4))="81111805","Mantenimiento o soporte de sistemas patentados o autorizados",""))</f>
        <v>Mantenimiento o soporte de sistemas patentados o autorizados</v>
      </c>
      <c r="C1731" s="35" t="str">
        <f>IFERROR(VLOOKUP("UD",'[1]Informacion '!P:Q,2,FALSE),"")</f>
        <v>Unidad</v>
      </c>
      <c r="D1731" s="33">
        <v>1</v>
      </c>
      <c r="E1731" s="36">
        <v>200000</v>
      </c>
      <c r="F1731" s="37">
        <f ca="1">INDIRECT(ADDRESS(ROW(),COLUMN()-2,4))*INDIRECT(ADDRESS(ROW(),COLUMN()-1,4))</f>
        <v>200000</v>
      </c>
    </row>
    <row r="1732" spans="1:10" ht="14.1" customHeight="1" x14ac:dyDescent="0.25">
      <c r="E1732" s="38" t="s">
        <v>48</v>
      </c>
      <c r="F1732" s="39">
        <f ca="1">SUM(Table101[MONTO TOTAL ESTIMADO])</f>
        <v>300000</v>
      </c>
      <c r="H1732" s="25" t="str">
        <f>C1723</f>
        <v>Servicios</v>
      </c>
      <c r="I1732" s="25" t="str">
        <f>E1723</f>
        <v>Sí</v>
      </c>
      <c r="J1732" s="25" t="str">
        <f>D1723</f>
        <v>Compras Menores</v>
      </c>
    </row>
    <row r="1733" spans="1:10" ht="14.1" customHeight="1" x14ac:dyDescent="0.25"/>
    <row r="1734" spans="1:10" ht="34.15" customHeight="1" thickBot="1" x14ac:dyDescent="0.3">
      <c r="A1734" s="24" t="s">
        <v>19</v>
      </c>
      <c r="B1734" s="24" t="s">
        <v>20</v>
      </c>
      <c r="C1734" s="24" t="s">
        <v>21</v>
      </c>
      <c r="D1734" s="24" t="s">
        <v>22</v>
      </c>
      <c r="E1734" s="24" t="s">
        <v>23</v>
      </c>
      <c r="F1734" s="24" t="s">
        <v>24</v>
      </c>
    </row>
    <row r="1735" spans="1:10" ht="14.1" customHeight="1" thickBot="1" x14ac:dyDescent="0.3">
      <c r="A1735" s="26" t="s">
        <v>319</v>
      </c>
      <c r="B1735" s="26" t="s">
        <v>319</v>
      </c>
      <c r="C1735" s="26" t="s">
        <v>64</v>
      </c>
      <c r="D1735" s="26" t="s">
        <v>53</v>
      </c>
      <c r="E1735" s="26" t="s">
        <v>54</v>
      </c>
      <c r="F1735" s="26"/>
    </row>
    <row r="1736" spans="1:10" ht="14.1" customHeight="1" thickBot="1" x14ac:dyDescent="0.3">
      <c r="A1736" s="43" t="s">
        <v>30</v>
      </c>
      <c r="B1736" s="27" t="s">
        <v>31</v>
      </c>
      <c r="C1736" s="28">
        <v>44835</v>
      </c>
      <c r="D1736" s="43" t="s">
        <v>32</v>
      </c>
      <c r="E1736" s="29" t="s">
        <v>33</v>
      </c>
      <c r="F1736" s="30" t="s">
        <v>34</v>
      </c>
    </row>
    <row r="1737" spans="1:10" ht="14.1" customHeight="1" thickBot="1" x14ac:dyDescent="0.3">
      <c r="A1737" s="44"/>
      <c r="B1737" s="27" t="s">
        <v>35</v>
      </c>
      <c r="C1737" s="31">
        <f>IF(C1736="","",IF(AND(MONTH(C1736)&gt;=1,MONTH(C1736)&lt;=3),1,IF(AND(MONTH(C1736)&gt;=4,MONTH(C1736)&lt;=6),2,IF(AND(MONTH(C1736)&gt;=7,MONTH(C1736)&lt;=9),3,4))))</f>
        <v>4</v>
      </c>
      <c r="D1737" s="44"/>
      <c r="E1737" s="29" t="s">
        <v>36</v>
      </c>
      <c r="F1737" s="30"/>
    </row>
    <row r="1738" spans="1:10" ht="14.1" customHeight="1" thickBot="1" x14ac:dyDescent="0.3">
      <c r="A1738" s="44"/>
      <c r="B1738" s="27" t="s">
        <v>37</v>
      </c>
      <c r="C1738" s="28">
        <v>44926</v>
      </c>
      <c r="D1738" s="44"/>
      <c r="E1738" s="29" t="s">
        <v>38</v>
      </c>
      <c r="F1738" s="30"/>
    </row>
    <row r="1739" spans="1:10" ht="14.1" customHeight="1" thickBot="1" x14ac:dyDescent="0.3">
      <c r="A1739" s="44"/>
      <c r="B1739" s="27" t="s">
        <v>35</v>
      </c>
      <c r="C1739" s="31">
        <f>IF(C1738="","",IF(AND(MONTH(C1738)&gt;=1,MONTH(C1738)&lt;=3),1,IF(AND(MONTH(C1738)&gt;=4,MONTH(C1738)&lt;=6),2,IF(AND(MONTH(C1738)&gt;=7,MONTH(C1738)&lt;=9),3,4))))</f>
        <v>4</v>
      </c>
      <c r="D1739" s="44"/>
      <c r="E1739" s="29" t="s">
        <v>39</v>
      </c>
      <c r="F1739" s="30"/>
    </row>
    <row r="1740" spans="1:10" ht="14.1" customHeight="1" x14ac:dyDescent="0.25"/>
    <row r="1741" spans="1:10" ht="14.1" customHeight="1" thickBot="1" x14ac:dyDescent="0.3">
      <c r="A1741" s="32" t="s">
        <v>40</v>
      </c>
      <c r="B1741" s="32" t="s">
        <v>41</v>
      </c>
      <c r="C1741" s="32" t="s">
        <v>42</v>
      </c>
      <c r="D1741" s="32" t="s">
        <v>43</v>
      </c>
      <c r="E1741" s="32" t="s">
        <v>44</v>
      </c>
      <c r="F1741" s="32" t="s">
        <v>45</v>
      </c>
    </row>
    <row r="1742" spans="1:10" ht="14.1" customHeight="1" x14ac:dyDescent="0.25">
      <c r="A1742" s="33" t="s">
        <v>320</v>
      </c>
      <c r="B1742" s="34" t="str">
        <f ca="1">IFERROR(INDEX(UNSPSCDes,MATCH(INDIRECT(ADDRESS(ROW(),COLUMN()-1,4)),UNSPSCCode,0)),IF(INDIRECT(ADDRESS(ROW(),COLUMN()-1,4))="81111805","Mantenimiento o soporte de sistemas patentados o autorizados",""))</f>
        <v>Mantenimiento o soporte de sistemas patentados o autorizados</v>
      </c>
      <c r="C1742" s="35" t="str">
        <f>IFERROR(VLOOKUP("UD",'[1]Informacion '!P:Q,2,FALSE),"")</f>
        <v>Unidad</v>
      </c>
      <c r="D1742" s="33">
        <v>1</v>
      </c>
      <c r="E1742" s="36">
        <v>100000</v>
      </c>
      <c r="F1742" s="37">
        <f ca="1">INDIRECT(ADDRESS(ROW(),COLUMN()-2,4))*INDIRECT(ADDRESS(ROW(),COLUMN()-1,4))</f>
        <v>100000</v>
      </c>
    </row>
    <row r="1743" spans="1:10" ht="14.1" customHeight="1" x14ac:dyDescent="0.25">
      <c r="E1743" s="38" t="s">
        <v>48</v>
      </c>
      <c r="F1743" s="39">
        <f ca="1">SUM(Table102[MONTO TOTAL ESTIMADO])</f>
        <v>100000</v>
      </c>
      <c r="H1743" s="25" t="str">
        <f>C1735</f>
        <v>Servicios</v>
      </c>
      <c r="I1743" s="25" t="str">
        <f>E1735</f>
        <v>Sí</v>
      </c>
      <c r="J1743" s="25" t="str">
        <f>D1735</f>
        <v>Compras por debajo del Umbral</v>
      </c>
    </row>
    <row r="1744" spans="1:10" ht="14.1" customHeight="1" x14ac:dyDescent="0.25"/>
    <row r="1745" spans="1:6" ht="34.15" customHeight="1" thickBot="1" x14ac:dyDescent="0.3">
      <c r="A1745" s="24" t="s">
        <v>19</v>
      </c>
      <c r="B1745" s="24" t="s">
        <v>20</v>
      </c>
      <c r="C1745" s="24" t="s">
        <v>21</v>
      </c>
      <c r="D1745" s="24" t="s">
        <v>22</v>
      </c>
      <c r="E1745" s="24" t="s">
        <v>23</v>
      </c>
      <c r="F1745" s="24" t="s">
        <v>24</v>
      </c>
    </row>
    <row r="1746" spans="1:6" ht="14.1" customHeight="1" thickBot="1" x14ac:dyDescent="0.3">
      <c r="A1746" s="26" t="s">
        <v>324</v>
      </c>
      <c r="B1746" s="26" t="s">
        <v>324</v>
      </c>
      <c r="C1746" s="26" t="s">
        <v>27</v>
      </c>
      <c r="D1746" s="26" t="s">
        <v>53</v>
      </c>
      <c r="E1746" s="26" t="s">
        <v>225</v>
      </c>
      <c r="F1746" s="26"/>
    </row>
    <row r="1747" spans="1:6" ht="14.1" customHeight="1" thickBot="1" x14ac:dyDescent="0.3">
      <c r="A1747" s="43" t="s">
        <v>30</v>
      </c>
      <c r="B1747" s="27" t="s">
        <v>31</v>
      </c>
      <c r="C1747" s="28">
        <v>44576</v>
      </c>
      <c r="D1747" s="43" t="s">
        <v>32</v>
      </c>
      <c r="E1747" s="29" t="s">
        <v>33</v>
      </c>
      <c r="F1747" s="30" t="s">
        <v>34</v>
      </c>
    </row>
    <row r="1748" spans="1:6" ht="14.1" customHeight="1" thickBot="1" x14ac:dyDescent="0.3">
      <c r="A1748" s="44"/>
      <c r="B1748" s="27" t="s">
        <v>35</v>
      </c>
      <c r="C1748" s="31">
        <f>IF(C1747="","",IF(AND(MONTH(C1747)&gt;=1,MONTH(C1747)&lt;=3),1,IF(AND(MONTH(C1747)&gt;=4,MONTH(C1747)&lt;=6),2,IF(AND(MONTH(C1747)&gt;=7,MONTH(C1747)&lt;=9),3,4))))</f>
        <v>1</v>
      </c>
      <c r="D1748" s="44"/>
      <c r="E1748" s="29" t="s">
        <v>36</v>
      </c>
      <c r="F1748" s="30"/>
    </row>
    <row r="1749" spans="1:6" ht="14.1" customHeight="1" thickBot="1" x14ac:dyDescent="0.3">
      <c r="A1749" s="44"/>
      <c r="B1749" s="27" t="s">
        <v>37</v>
      </c>
      <c r="C1749" s="28">
        <v>44651</v>
      </c>
      <c r="D1749" s="44"/>
      <c r="E1749" s="29" t="s">
        <v>38</v>
      </c>
      <c r="F1749" s="30"/>
    </row>
    <row r="1750" spans="1:6" ht="14.1" customHeight="1" thickBot="1" x14ac:dyDescent="0.3">
      <c r="A1750" s="44"/>
      <c r="B1750" s="27" t="s">
        <v>35</v>
      </c>
      <c r="C1750" s="31">
        <f>IF(C1749="","",IF(AND(MONTH(C1749)&gt;=1,MONTH(C1749)&lt;=3),1,IF(AND(MONTH(C1749)&gt;=4,MONTH(C1749)&lt;=6),2,IF(AND(MONTH(C1749)&gt;=7,MONTH(C1749)&lt;=9),3,4))))</f>
        <v>1</v>
      </c>
      <c r="D1750" s="44"/>
      <c r="E1750" s="29" t="s">
        <v>39</v>
      </c>
      <c r="F1750" s="30"/>
    </row>
    <row r="1751" spans="1:6" ht="14.1" customHeight="1" x14ac:dyDescent="0.25"/>
    <row r="1752" spans="1:6" ht="14.1" customHeight="1" thickBot="1" x14ac:dyDescent="0.3">
      <c r="A1752" s="32" t="s">
        <v>40</v>
      </c>
      <c r="B1752" s="32" t="s">
        <v>41</v>
      </c>
      <c r="C1752" s="32" t="s">
        <v>42</v>
      </c>
      <c r="D1752" s="32" t="s">
        <v>43</v>
      </c>
      <c r="E1752" s="32" t="s">
        <v>44</v>
      </c>
      <c r="F1752" s="32" t="s">
        <v>45</v>
      </c>
    </row>
    <row r="1753" spans="1:6" ht="14.1" customHeight="1" x14ac:dyDescent="0.25">
      <c r="A1753" s="33" t="s">
        <v>325</v>
      </c>
      <c r="B1753" s="34" t="str">
        <f ca="1">IFERROR(INDEX(UNSPSCDes,MATCH(INDIRECT(ADDRESS(ROW(),COLUMN()-1,4)),UNSPSCCode,0)),IF(INDIRECT(ADDRESS(ROW(),COLUMN()-1,4))="51161812","Combinación de acetaminofen y clorfeniramina",""))</f>
        <v>Combinación de acetaminofen y clorfeniramina</v>
      </c>
      <c r="C1753" s="35" t="str">
        <f>IFERROR(VLOOKUP("CAJ",'[1]Informacion '!P:Q,2,FALSE),"")</f>
        <v>Caja</v>
      </c>
      <c r="D1753" s="33">
        <v>4</v>
      </c>
      <c r="E1753" s="36">
        <v>1800</v>
      </c>
      <c r="F1753" s="37">
        <f t="shared" ref="F1753:F1764" ca="1" si="39">INDIRECT(ADDRESS(ROW(),COLUMN()-2,4))*INDIRECT(ADDRESS(ROW(),COLUMN()-1,4))</f>
        <v>7200</v>
      </c>
    </row>
    <row r="1754" spans="1:6" ht="14.1" customHeight="1" x14ac:dyDescent="0.25">
      <c r="A1754" s="33" t="s">
        <v>326</v>
      </c>
      <c r="B1754" s="34" t="str">
        <f ca="1">IFERROR(INDEX(UNSPSCDes,MATCH(INDIRECT(ADDRESS(ROW(),COLUMN()-1,4)),UNSPSCCode,0)),IF(INDIRECT(ADDRESS(ROW(),COLUMN()-1,4))="51171609","Ácido dehidrocólico",""))</f>
        <v>Ácido dehidrocólico</v>
      </c>
      <c r="C1754" s="35" t="str">
        <f>IFERROR(VLOOKUP("CAJ",'[1]Informacion '!P:Q,2,FALSE),"")</f>
        <v>Caja</v>
      </c>
      <c r="D1754" s="33">
        <v>4</v>
      </c>
      <c r="E1754" s="36">
        <v>3000</v>
      </c>
      <c r="F1754" s="37">
        <f t="shared" ca="1" si="39"/>
        <v>12000</v>
      </c>
    </row>
    <row r="1755" spans="1:6" ht="14.1" customHeight="1" x14ac:dyDescent="0.25">
      <c r="A1755" s="33" t="s">
        <v>327</v>
      </c>
      <c r="B1755" s="34" t="str">
        <f ca="1">IFERROR(INDEX(UNSPSCDes,MATCH(INDIRECT(ADDRESS(ROW(),COLUMN()-1,4)),UNSPSCCode,0)),IF(INDIRECT(ADDRESS(ROW(),COLUMN()-1,4))="51171704","Nifuroxazida",""))</f>
        <v>Nifuroxazida</v>
      </c>
      <c r="C1755" s="35" t="str">
        <f>IFERROR(VLOOKUP("CAJ",'[1]Informacion '!P:Q,2,FALSE),"")</f>
        <v>Caja</v>
      </c>
      <c r="D1755" s="33">
        <v>4</v>
      </c>
      <c r="E1755" s="36">
        <v>2000</v>
      </c>
      <c r="F1755" s="37">
        <f t="shared" ca="1" si="39"/>
        <v>8000</v>
      </c>
    </row>
    <row r="1756" spans="1:6" ht="14.1" customHeight="1" x14ac:dyDescent="0.25">
      <c r="A1756" s="33" t="s">
        <v>328</v>
      </c>
      <c r="B1756" s="34" t="str">
        <f ca="1">IFERROR(INDEX(UNSPSCDes,MATCH(INDIRECT(ADDRESS(ROW(),COLUMN()-1,4)),UNSPSCCode,0)),IF(INDIRECT(ADDRESS(ROW(),COLUMN()-1,4))="51171807","Cinarizina",""))</f>
        <v>Cinarizina</v>
      </c>
      <c r="C1756" s="35" t="str">
        <f>IFERROR(VLOOKUP("CAJ",'[1]Informacion '!P:Q,2,FALSE),"")</f>
        <v>Caja</v>
      </c>
      <c r="D1756" s="33">
        <v>4</v>
      </c>
      <c r="E1756" s="36">
        <v>2500</v>
      </c>
      <c r="F1756" s="37">
        <f t="shared" ca="1" si="39"/>
        <v>10000</v>
      </c>
    </row>
    <row r="1757" spans="1:6" ht="14.1" customHeight="1" x14ac:dyDescent="0.25">
      <c r="A1757" s="33" t="s">
        <v>329</v>
      </c>
      <c r="B1757" s="34" t="str">
        <f ca="1">IFERROR(INDEX(UNSPSCDes,MATCH(INDIRECT(ADDRESS(ROW(),COLUMN()-1,4)),UNSPSCCode,0)),IF(INDIRECT(ADDRESS(ROW(),COLUMN()-1,4))="51102710","Antisépticos basados en alcohol o acetona",""))</f>
        <v>Antisépticos basados en alcohol o acetona</v>
      </c>
      <c r="C1757" s="35" t="str">
        <f>IFERROR(VLOOKUP("UD",'[1]Informacion '!P:Q,2,FALSE),"")</f>
        <v>Unidad</v>
      </c>
      <c r="D1757" s="33">
        <v>4</v>
      </c>
      <c r="E1757" s="36">
        <v>300</v>
      </c>
      <c r="F1757" s="37">
        <f t="shared" ca="1" si="39"/>
        <v>1200</v>
      </c>
    </row>
    <row r="1758" spans="1:6" ht="14.1" customHeight="1" x14ac:dyDescent="0.25">
      <c r="A1758" s="33" t="s">
        <v>330</v>
      </c>
      <c r="B1758" s="34" t="str">
        <f ca="1">IFERROR(INDEX(UNSPSCDes,MATCH(INDIRECT(ADDRESS(ROW(),COLUMN()-1,4)),UNSPSCCode,0)),IF(INDIRECT(ADDRESS(ROW(),COLUMN()-1,4))="51171904","Clorhidrato de ranitidina",""))</f>
        <v>Clorhidrato de ranitidina</v>
      </c>
      <c r="C1758" s="35" t="str">
        <f>IFERROR(VLOOKUP("CAJ",'[1]Informacion '!P:Q,2,FALSE),"")</f>
        <v>Caja</v>
      </c>
      <c r="D1758" s="33">
        <v>2</v>
      </c>
      <c r="E1758" s="36">
        <v>1500</v>
      </c>
      <c r="F1758" s="37">
        <f t="shared" ca="1" si="39"/>
        <v>3000</v>
      </c>
    </row>
    <row r="1759" spans="1:6" ht="14.1" customHeight="1" x14ac:dyDescent="0.25">
      <c r="A1759" s="33" t="s">
        <v>331</v>
      </c>
      <c r="B1759" s="34" t="str">
        <f ca="1">IFERROR(INDEX(UNSPSCDes,MATCH(INDIRECT(ADDRESS(ROW(),COLUMN()-1,4)),UNSPSCCode,0)),IF(INDIRECT(ADDRESS(ROW(),COLUMN()-1,4))="53131615","Productos para la higiene femenina",""))</f>
        <v>Productos para la higiene femenina</v>
      </c>
      <c r="C1759" s="35" t="str">
        <f>IFERROR(VLOOKUP("UD",'[1]Informacion '!P:Q,2,FALSE),"")</f>
        <v>Unidad</v>
      </c>
      <c r="D1759" s="33">
        <v>5</v>
      </c>
      <c r="E1759" s="36">
        <v>125</v>
      </c>
      <c r="F1759" s="37">
        <f t="shared" ca="1" si="39"/>
        <v>625</v>
      </c>
    </row>
    <row r="1760" spans="1:6" ht="14.1" customHeight="1" x14ac:dyDescent="0.25">
      <c r="A1760" s="33" t="s">
        <v>332</v>
      </c>
      <c r="B1760" s="34" t="str">
        <f ca="1">IFERROR(INDEX(UNSPSCDes,MATCH(INDIRECT(ADDRESS(ROW(),COLUMN()-1,4)),UNSPSCCode,0)),IF(INDIRECT(ADDRESS(ROW(),COLUMN()-1,4))="51241208","Cremas o ungüentos hidrofilacios",""))</f>
        <v>Cremas o ungüentos hidrofilacios</v>
      </c>
      <c r="C1760" s="35" t="str">
        <f>IFERROR(VLOOKUP("UD",'[1]Informacion '!P:Q,2,FALSE),"")</f>
        <v>Unidad</v>
      </c>
      <c r="D1760" s="33">
        <v>2</v>
      </c>
      <c r="E1760" s="36">
        <v>450</v>
      </c>
      <c r="F1760" s="37">
        <f t="shared" ca="1" si="39"/>
        <v>900</v>
      </c>
    </row>
    <row r="1761" spans="1:10" ht="14.1" customHeight="1" x14ac:dyDescent="0.25">
      <c r="A1761" s="33" t="s">
        <v>332</v>
      </c>
      <c r="B1761" s="34" t="str">
        <f ca="1">IFERROR(INDEX(UNSPSCDes,MATCH(INDIRECT(ADDRESS(ROW(),COLUMN()-1,4)),UNSPSCCode,0)),IF(INDIRECT(ADDRESS(ROW(),COLUMN()-1,4))="51241208","Cremas o ungüentos hidrofilacios",""))</f>
        <v>Cremas o ungüentos hidrofilacios</v>
      </c>
      <c r="C1761" s="35" t="str">
        <f>IFERROR(VLOOKUP("UD",'[1]Informacion '!P:Q,2,FALSE),"")</f>
        <v>Unidad</v>
      </c>
      <c r="D1761" s="33">
        <v>2</v>
      </c>
      <c r="E1761" s="36">
        <v>600</v>
      </c>
      <c r="F1761" s="37">
        <f t="shared" ca="1" si="39"/>
        <v>1200</v>
      </c>
    </row>
    <row r="1762" spans="1:10" ht="14.1" customHeight="1" x14ac:dyDescent="0.25">
      <c r="A1762" s="33" t="s">
        <v>333</v>
      </c>
      <c r="B1762" s="34" t="str">
        <f ca="1">IFERROR(INDEX(UNSPSCDes,MATCH(INDIRECT(ADDRESS(ROW(),COLUMN()-1,4)),UNSPSCCode,0)),IF(INDIRECT(ADDRESS(ROW(),COLUMN()-1,4))="51142106","Ibuprofeno",""))</f>
        <v>Ibuprofeno</v>
      </c>
      <c r="C1762" s="35" t="str">
        <f>IFERROR(VLOOKUP("CAJ",'[1]Informacion '!P:Q,2,FALSE),"")</f>
        <v>Caja</v>
      </c>
      <c r="D1762" s="33">
        <v>2</v>
      </c>
      <c r="E1762" s="36">
        <v>1680</v>
      </c>
      <c r="F1762" s="37">
        <f t="shared" ca="1" si="39"/>
        <v>3360</v>
      </c>
    </row>
    <row r="1763" spans="1:10" ht="14.1" customHeight="1" x14ac:dyDescent="0.25">
      <c r="A1763" s="33" t="s">
        <v>334</v>
      </c>
      <c r="B1763" s="34" t="str">
        <f ca="1">IFERROR(INDEX(UNSPSCDes,MATCH(INDIRECT(ADDRESS(ROW(),COLUMN()-1,4)),UNSPSCCode,0)),IF(INDIRECT(ADDRESS(ROW(),COLUMN()-1,4))="51142001","Acetaminofén",""))</f>
        <v>Acetaminofén</v>
      </c>
      <c r="C1763" s="35" t="str">
        <f>IFERROR(VLOOKUP("CAJ",'[1]Informacion '!P:Q,2,FALSE),"")</f>
        <v>Caja</v>
      </c>
      <c r="D1763" s="33">
        <v>2</v>
      </c>
      <c r="E1763" s="36">
        <v>1700</v>
      </c>
      <c r="F1763" s="37">
        <f t="shared" ca="1" si="39"/>
        <v>3400</v>
      </c>
    </row>
    <row r="1764" spans="1:10" ht="14.1" customHeight="1" x14ac:dyDescent="0.25">
      <c r="A1764" s="33" t="s">
        <v>335</v>
      </c>
      <c r="B1764" s="34" t="str">
        <f ca="1">IFERROR(INDEX(UNSPSCDes,MATCH(INDIRECT(ADDRESS(ROW(),COLUMN()-1,4)),UNSPSCCode,0)),IF(INDIRECT(ADDRESS(ROW(),COLUMN()-1,4))="42131606","Máscaras quirúrgicas o de aislamiento para personal médico",""))</f>
        <v>Máscaras quirúrgicas o de aislamiento para personal médico</v>
      </c>
      <c r="C1764" s="35" t="str">
        <f>IFERROR(VLOOKUP("UD",'[1]Informacion '!P:Q,2,FALSE),"")</f>
        <v>Unidad</v>
      </c>
      <c r="D1764" s="33">
        <v>13500</v>
      </c>
      <c r="E1764" s="36">
        <v>5</v>
      </c>
      <c r="F1764" s="37">
        <f t="shared" ca="1" si="39"/>
        <v>67500</v>
      </c>
    </row>
    <row r="1765" spans="1:10" ht="14.1" customHeight="1" x14ac:dyDescent="0.25">
      <c r="E1765" s="38" t="s">
        <v>48</v>
      </c>
      <c r="F1765" s="39">
        <f ca="1">SUM(Table103[MONTO TOTAL ESTIMADO])</f>
        <v>118385</v>
      </c>
      <c r="H1765" s="25" t="str">
        <f>C1746</f>
        <v>Bienes</v>
      </c>
      <c r="I1765" s="25" t="str">
        <f>E1746</f>
        <v>MIPYME Mujeres</v>
      </c>
      <c r="J1765" s="25" t="str">
        <f>D1746</f>
        <v>Compras por debajo del Umbral</v>
      </c>
    </row>
    <row r="1766" spans="1:10" ht="14.1" customHeight="1" x14ac:dyDescent="0.25"/>
    <row r="1767" spans="1:10" ht="34.15" customHeight="1" thickBot="1" x14ac:dyDescent="0.3">
      <c r="A1767" s="24" t="s">
        <v>19</v>
      </c>
      <c r="B1767" s="24" t="s">
        <v>20</v>
      </c>
      <c r="C1767" s="24" t="s">
        <v>21</v>
      </c>
      <c r="D1767" s="24" t="s">
        <v>22</v>
      </c>
      <c r="E1767" s="24" t="s">
        <v>23</v>
      </c>
      <c r="F1767" s="24" t="s">
        <v>24</v>
      </c>
    </row>
    <row r="1768" spans="1:10" ht="14.1" customHeight="1" thickBot="1" x14ac:dyDescent="0.3">
      <c r="A1768" s="26" t="s">
        <v>324</v>
      </c>
      <c r="B1768" s="26" t="s">
        <v>324</v>
      </c>
      <c r="C1768" s="26" t="s">
        <v>27</v>
      </c>
      <c r="D1768" s="26" t="s">
        <v>53</v>
      </c>
      <c r="E1768" s="26" t="s">
        <v>225</v>
      </c>
      <c r="F1768" s="26"/>
    </row>
    <row r="1769" spans="1:10" ht="14.1" customHeight="1" thickBot="1" x14ac:dyDescent="0.3">
      <c r="A1769" s="43" t="s">
        <v>30</v>
      </c>
      <c r="B1769" s="27" t="s">
        <v>31</v>
      </c>
      <c r="C1769" s="28">
        <v>44652</v>
      </c>
      <c r="D1769" s="43" t="s">
        <v>32</v>
      </c>
      <c r="E1769" s="29" t="s">
        <v>33</v>
      </c>
      <c r="F1769" s="30" t="s">
        <v>34</v>
      </c>
    </row>
    <row r="1770" spans="1:10" ht="14.1" customHeight="1" thickBot="1" x14ac:dyDescent="0.3">
      <c r="A1770" s="44"/>
      <c r="B1770" s="27" t="s">
        <v>35</v>
      </c>
      <c r="C1770" s="31">
        <f>IF(C1769="","",IF(AND(MONTH(C1769)&gt;=1,MONTH(C1769)&lt;=3),1,IF(AND(MONTH(C1769)&gt;=4,MONTH(C1769)&lt;=6),2,IF(AND(MONTH(C1769)&gt;=7,MONTH(C1769)&lt;=9),3,4))))</f>
        <v>2</v>
      </c>
      <c r="D1770" s="44"/>
      <c r="E1770" s="29" t="s">
        <v>36</v>
      </c>
      <c r="F1770" s="30"/>
    </row>
    <row r="1771" spans="1:10" ht="14.1" customHeight="1" thickBot="1" x14ac:dyDescent="0.3">
      <c r="A1771" s="44"/>
      <c r="B1771" s="27" t="s">
        <v>37</v>
      </c>
      <c r="C1771" s="28">
        <v>44742</v>
      </c>
      <c r="D1771" s="44"/>
      <c r="E1771" s="29" t="s">
        <v>38</v>
      </c>
      <c r="F1771" s="30"/>
    </row>
    <row r="1772" spans="1:10" ht="14.1" customHeight="1" thickBot="1" x14ac:dyDescent="0.3">
      <c r="A1772" s="44"/>
      <c r="B1772" s="27" t="s">
        <v>35</v>
      </c>
      <c r="C1772" s="31">
        <f>IF(C1771="","",IF(AND(MONTH(C1771)&gt;=1,MONTH(C1771)&lt;=3),1,IF(AND(MONTH(C1771)&gt;=4,MONTH(C1771)&lt;=6),2,IF(AND(MONTH(C1771)&gt;=7,MONTH(C1771)&lt;=9),3,4))))</f>
        <v>2</v>
      </c>
      <c r="D1772" s="44"/>
      <c r="E1772" s="29" t="s">
        <v>39</v>
      </c>
      <c r="F1772" s="30"/>
    </row>
    <row r="1773" spans="1:10" ht="14.1" customHeight="1" x14ac:dyDescent="0.25"/>
    <row r="1774" spans="1:10" ht="14.1" customHeight="1" thickBot="1" x14ac:dyDescent="0.3">
      <c r="A1774" s="32" t="s">
        <v>40</v>
      </c>
      <c r="B1774" s="32" t="s">
        <v>41</v>
      </c>
      <c r="C1774" s="32" t="s">
        <v>42</v>
      </c>
      <c r="D1774" s="32" t="s">
        <v>43</v>
      </c>
      <c r="E1774" s="32" t="s">
        <v>44</v>
      </c>
      <c r="F1774" s="32" t="s">
        <v>45</v>
      </c>
    </row>
    <row r="1775" spans="1:10" ht="14.1" customHeight="1" x14ac:dyDescent="0.25">
      <c r="A1775" s="33" t="s">
        <v>325</v>
      </c>
      <c r="B1775" s="34" t="str">
        <f ca="1">IFERROR(INDEX(UNSPSCDes,MATCH(INDIRECT(ADDRESS(ROW(),COLUMN()-1,4)),UNSPSCCode,0)),IF(INDIRECT(ADDRESS(ROW(),COLUMN()-1,4))="51161812","Combinación de acetaminofen y clorfeniramina",""))</f>
        <v>Combinación de acetaminofen y clorfeniramina</v>
      </c>
      <c r="C1775" s="35" t="str">
        <f>IFERROR(VLOOKUP("CAJ",'[1]Informacion '!P:Q,2,FALSE),"")</f>
        <v>Caja</v>
      </c>
      <c r="D1775" s="33">
        <v>4</v>
      </c>
      <c r="E1775" s="36">
        <v>1800</v>
      </c>
      <c r="F1775" s="37">
        <f t="shared" ref="F1775:F1785" ca="1" si="40">INDIRECT(ADDRESS(ROW(),COLUMN()-2,4))*INDIRECT(ADDRESS(ROW(),COLUMN()-1,4))</f>
        <v>7200</v>
      </c>
    </row>
    <row r="1776" spans="1:10" ht="14.1" customHeight="1" x14ac:dyDescent="0.25">
      <c r="A1776" s="33" t="s">
        <v>326</v>
      </c>
      <c r="B1776" s="34" t="str">
        <f ca="1">IFERROR(INDEX(UNSPSCDes,MATCH(INDIRECT(ADDRESS(ROW(),COLUMN()-1,4)),UNSPSCCode,0)),IF(INDIRECT(ADDRESS(ROW(),COLUMN()-1,4))="51171609","Ácido dehidrocólico",""))</f>
        <v>Ácido dehidrocólico</v>
      </c>
      <c r="C1776" s="35" t="str">
        <f>IFERROR(VLOOKUP("CAJ",'[1]Informacion '!P:Q,2,FALSE),"")</f>
        <v>Caja</v>
      </c>
      <c r="D1776" s="33">
        <v>4</v>
      </c>
      <c r="E1776" s="36">
        <v>3000</v>
      </c>
      <c r="F1776" s="37">
        <f t="shared" ca="1" si="40"/>
        <v>12000</v>
      </c>
    </row>
    <row r="1777" spans="1:10" ht="14.1" customHeight="1" x14ac:dyDescent="0.25">
      <c r="A1777" s="33" t="s">
        <v>327</v>
      </c>
      <c r="B1777" s="34" t="str">
        <f ca="1">IFERROR(INDEX(UNSPSCDes,MATCH(INDIRECT(ADDRESS(ROW(),COLUMN()-1,4)),UNSPSCCode,0)),IF(INDIRECT(ADDRESS(ROW(),COLUMN()-1,4))="51171704","Nifuroxazida",""))</f>
        <v>Nifuroxazida</v>
      </c>
      <c r="C1777" s="35" t="str">
        <f>IFERROR(VLOOKUP("CAJ",'[1]Informacion '!P:Q,2,FALSE),"")</f>
        <v>Caja</v>
      </c>
      <c r="D1777" s="33">
        <v>4</v>
      </c>
      <c r="E1777" s="36">
        <v>2000</v>
      </c>
      <c r="F1777" s="37">
        <f t="shared" ca="1" si="40"/>
        <v>8000</v>
      </c>
    </row>
    <row r="1778" spans="1:10" ht="14.1" customHeight="1" x14ac:dyDescent="0.25">
      <c r="A1778" s="33" t="s">
        <v>328</v>
      </c>
      <c r="B1778" s="34" t="str">
        <f ca="1">IFERROR(INDEX(UNSPSCDes,MATCH(INDIRECT(ADDRESS(ROW(),COLUMN()-1,4)),UNSPSCCode,0)),IF(INDIRECT(ADDRESS(ROW(),COLUMN()-1,4))="51171807","Cinarizina",""))</f>
        <v>Cinarizina</v>
      </c>
      <c r="C1778" s="35" t="str">
        <f>IFERROR(VLOOKUP("CAJ",'[1]Informacion '!P:Q,2,FALSE),"")</f>
        <v>Caja</v>
      </c>
      <c r="D1778" s="33">
        <v>4</v>
      </c>
      <c r="E1778" s="36">
        <v>2500</v>
      </c>
      <c r="F1778" s="37">
        <f t="shared" ca="1" si="40"/>
        <v>10000</v>
      </c>
    </row>
    <row r="1779" spans="1:10" ht="14.1" customHeight="1" x14ac:dyDescent="0.25">
      <c r="A1779" s="33" t="s">
        <v>329</v>
      </c>
      <c r="B1779" s="34" t="str">
        <f ca="1">IFERROR(INDEX(UNSPSCDes,MATCH(INDIRECT(ADDRESS(ROW(),COLUMN()-1,4)),UNSPSCCode,0)),IF(INDIRECT(ADDRESS(ROW(),COLUMN()-1,4))="51102710","Antisépticos basados en alcohol o acetona",""))</f>
        <v>Antisépticos basados en alcohol o acetona</v>
      </c>
      <c r="C1779" s="35" t="str">
        <f>IFERROR(VLOOKUP("UD",'[1]Informacion '!P:Q,2,FALSE),"")</f>
        <v>Unidad</v>
      </c>
      <c r="D1779" s="33">
        <v>4</v>
      </c>
      <c r="E1779" s="36">
        <v>300</v>
      </c>
      <c r="F1779" s="37">
        <f t="shared" ca="1" si="40"/>
        <v>1200</v>
      </c>
    </row>
    <row r="1780" spans="1:10" ht="14.1" customHeight="1" x14ac:dyDescent="0.25">
      <c r="A1780" s="33" t="s">
        <v>330</v>
      </c>
      <c r="B1780" s="34" t="str">
        <f ca="1">IFERROR(INDEX(UNSPSCDes,MATCH(INDIRECT(ADDRESS(ROW(),COLUMN()-1,4)),UNSPSCCode,0)),IF(INDIRECT(ADDRESS(ROW(),COLUMN()-1,4))="51171904","Clorhidrato de ranitidina",""))</f>
        <v>Clorhidrato de ranitidina</v>
      </c>
      <c r="C1780" s="35" t="str">
        <f>IFERROR(VLOOKUP("CAJ",'[1]Informacion '!P:Q,2,FALSE),"")</f>
        <v>Caja</v>
      </c>
      <c r="D1780" s="33">
        <v>2</v>
      </c>
      <c r="E1780" s="36">
        <v>1500</v>
      </c>
      <c r="F1780" s="37">
        <f t="shared" ca="1" si="40"/>
        <v>3000</v>
      </c>
    </row>
    <row r="1781" spans="1:10" ht="14.1" customHeight="1" x14ac:dyDescent="0.25">
      <c r="A1781" s="33" t="s">
        <v>331</v>
      </c>
      <c r="B1781" s="34" t="str">
        <f ca="1">IFERROR(INDEX(UNSPSCDes,MATCH(INDIRECT(ADDRESS(ROW(),COLUMN()-1,4)),UNSPSCCode,0)),IF(INDIRECT(ADDRESS(ROW(),COLUMN()-1,4))="53131615","Productos para la higiene femenina",""))</f>
        <v>Productos para la higiene femenina</v>
      </c>
      <c r="C1781" s="35" t="str">
        <f>IFERROR(VLOOKUP("UD",'[1]Informacion '!P:Q,2,FALSE),"")</f>
        <v>Unidad</v>
      </c>
      <c r="D1781" s="33">
        <v>5</v>
      </c>
      <c r="E1781" s="36">
        <v>125</v>
      </c>
      <c r="F1781" s="37">
        <f t="shared" ca="1" si="40"/>
        <v>625</v>
      </c>
    </row>
    <row r="1782" spans="1:10" ht="14.1" customHeight="1" x14ac:dyDescent="0.25">
      <c r="A1782" s="33" t="s">
        <v>332</v>
      </c>
      <c r="B1782" s="34" t="str">
        <f ca="1">IFERROR(INDEX(UNSPSCDes,MATCH(INDIRECT(ADDRESS(ROW(),COLUMN()-1,4)),UNSPSCCode,0)),IF(INDIRECT(ADDRESS(ROW(),COLUMN()-1,4))="51241208","Cremas o ungüentos hidrofilacios",""))</f>
        <v>Cremas o ungüentos hidrofilacios</v>
      </c>
      <c r="C1782" s="35" t="str">
        <f>IFERROR(VLOOKUP("UD",'[1]Informacion '!P:Q,2,FALSE),"")</f>
        <v>Unidad</v>
      </c>
      <c r="D1782" s="33">
        <v>2</v>
      </c>
      <c r="E1782" s="36">
        <v>450</v>
      </c>
      <c r="F1782" s="37">
        <f t="shared" ca="1" si="40"/>
        <v>900</v>
      </c>
    </row>
    <row r="1783" spans="1:10" ht="14.1" customHeight="1" x14ac:dyDescent="0.25">
      <c r="A1783" s="33" t="s">
        <v>332</v>
      </c>
      <c r="B1783" s="34" t="str">
        <f ca="1">IFERROR(INDEX(UNSPSCDes,MATCH(INDIRECT(ADDRESS(ROW(),COLUMN()-1,4)),UNSPSCCode,0)),IF(INDIRECT(ADDRESS(ROW(),COLUMN()-1,4))="51241208","Cremas o ungüentos hidrofilacios",""))</f>
        <v>Cremas o ungüentos hidrofilacios</v>
      </c>
      <c r="C1783" s="35" t="str">
        <f>IFERROR(VLOOKUP("UD",'[1]Informacion '!P:Q,2,FALSE),"")</f>
        <v>Unidad</v>
      </c>
      <c r="D1783" s="33">
        <v>2</v>
      </c>
      <c r="E1783" s="36">
        <v>600</v>
      </c>
      <c r="F1783" s="37">
        <f t="shared" ca="1" si="40"/>
        <v>1200</v>
      </c>
    </row>
    <row r="1784" spans="1:10" ht="14.1" customHeight="1" x14ac:dyDescent="0.25">
      <c r="A1784" s="33" t="s">
        <v>333</v>
      </c>
      <c r="B1784" s="34" t="str">
        <f ca="1">IFERROR(INDEX(UNSPSCDes,MATCH(INDIRECT(ADDRESS(ROW(),COLUMN()-1,4)),UNSPSCCode,0)),IF(INDIRECT(ADDRESS(ROW(),COLUMN()-1,4))="51142106","Ibuprofeno",""))</f>
        <v>Ibuprofeno</v>
      </c>
      <c r="C1784" s="35" t="str">
        <f>IFERROR(VLOOKUP("CAJ",'[1]Informacion '!P:Q,2,FALSE),"")</f>
        <v>Caja</v>
      </c>
      <c r="D1784" s="33">
        <v>2</v>
      </c>
      <c r="E1784" s="36">
        <v>1680</v>
      </c>
      <c r="F1784" s="37">
        <f t="shared" ca="1" si="40"/>
        <v>3360</v>
      </c>
    </row>
    <row r="1785" spans="1:10" ht="14.1" customHeight="1" x14ac:dyDescent="0.25">
      <c r="A1785" s="33" t="s">
        <v>334</v>
      </c>
      <c r="B1785" s="34" t="str">
        <f ca="1">IFERROR(INDEX(UNSPSCDes,MATCH(INDIRECT(ADDRESS(ROW(),COLUMN()-1,4)),UNSPSCCode,0)),IF(INDIRECT(ADDRESS(ROW(),COLUMN()-1,4))="51142001","Acetaminofén",""))</f>
        <v>Acetaminofén</v>
      </c>
      <c r="C1785" s="35" t="str">
        <f>IFERROR(VLOOKUP("CAJ",'[1]Informacion '!P:Q,2,FALSE),"")</f>
        <v>Caja</v>
      </c>
      <c r="D1785" s="33">
        <v>2</v>
      </c>
      <c r="E1785" s="36">
        <v>1700</v>
      </c>
      <c r="F1785" s="37">
        <f t="shared" ca="1" si="40"/>
        <v>3400</v>
      </c>
    </row>
    <row r="1786" spans="1:10" ht="14.1" customHeight="1" x14ac:dyDescent="0.25">
      <c r="E1786" s="38" t="s">
        <v>48</v>
      </c>
      <c r="F1786" s="39">
        <f ca="1">SUM(Table104[MONTO TOTAL ESTIMADO])</f>
        <v>50885</v>
      </c>
      <c r="H1786" s="25" t="str">
        <f>C1768</f>
        <v>Bienes</v>
      </c>
      <c r="I1786" s="25" t="str">
        <f>E1768</f>
        <v>MIPYME Mujeres</v>
      </c>
      <c r="J1786" s="25" t="str">
        <f>D1768</f>
        <v>Compras por debajo del Umbral</v>
      </c>
    </row>
    <row r="1787" spans="1:10" ht="14.1" customHeight="1" x14ac:dyDescent="0.25"/>
    <row r="1788" spans="1:10" ht="34.15" customHeight="1" thickBot="1" x14ac:dyDescent="0.3">
      <c r="A1788" s="24" t="s">
        <v>19</v>
      </c>
      <c r="B1788" s="24" t="s">
        <v>20</v>
      </c>
      <c r="C1788" s="24" t="s">
        <v>21</v>
      </c>
      <c r="D1788" s="24" t="s">
        <v>22</v>
      </c>
      <c r="E1788" s="24" t="s">
        <v>23</v>
      </c>
      <c r="F1788" s="24" t="s">
        <v>24</v>
      </c>
    </row>
    <row r="1789" spans="1:10" ht="14.1" customHeight="1" thickBot="1" x14ac:dyDescent="0.3">
      <c r="A1789" s="26" t="s">
        <v>324</v>
      </c>
      <c r="B1789" s="26" t="s">
        <v>324</v>
      </c>
      <c r="C1789" s="26" t="s">
        <v>27</v>
      </c>
      <c r="D1789" s="26" t="s">
        <v>53</v>
      </c>
      <c r="E1789" s="26" t="s">
        <v>225</v>
      </c>
      <c r="F1789" s="26"/>
    </row>
    <row r="1790" spans="1:10" ht="14.1" customHeight="1" thickBot="1" x14ac:dyDescent="0.3">
      <c r="A1790" s="43" t="s">
        <v>30</v>
      </c>
      <c r="B1790" s="27" t="s">
        <v>31</v>
      </c>
      <c r="C1790" s="28">
        <v>44743</v>
      </c>
      <c r="D1790" s="43" t="s">
        <v>32</v>
      </c>
      <c r="E1790" s="29" t="s">
        <v>33</v>
      </c>
      <c r="F1790" s="30" t="s">
        <v>34</v>
      </c>
    </row>
    <row r="1791" spans="1:10" ht="14.1" customHeight="1" thickBot="1" x14ac:dyDescent="0.3">
      <c r="A1791" s="44"/>
      <c r="B1791" s="27" t="s">
        <v>35</v>
      </c>
      <c r="C1791" s="31">
        <f>IF(C1790="","",IF(AND(MONTH(C1790)&gt;=1,MONTH(C1790)&lt;=3),1,IF(AND(MONTH(C1790)&gt;=4,MONTH(C1790)&lt;=6),2,IF(AND(MONTH(C1790)&gt;=7,MONTH(C1790)&lt;=9),3,4))))</f>
        <v>3</v>
      </c>
      <c r="D1791" s="44"/>
      <c r="E1791" s="29" t="s">
        <v>36</v>
      </c>
      <c r="F1791" s="30"/>
    </row>
    <row r="1792" spans="1:10" ht="14.1" customHeight="1" thickBot="1" x14ac:dyDescent="0.3">
      <c r="A1792" s="44"/>
      <c r="B1792" s="27" t="s">
        <v>37</v>
      </c>
      <c r="C1792" s="28">
        <v>44834</v>
      </c>
      <c r="D1792" s="44"/>
      <c r="E1792" s="29" t="s">
        <v>38</v>
      </c>
      <c r="F1792" s="30"/>
    </row>
    <row r="1793" spans="1:10" ht="14.1" customHeight="1" thickBot="1" x14ac:dyDescent="0.3">
      <c r="A1793" s="44"/>
      <c r="B1793" s="27" t="s">
        <v>35</v>
      </c>
      <c r="C1793" s="31">
        <f>IF(C1792="","",IF(AND(MONTH(C1792)&gt;=1,MONTH(C1792)&lt;=3),1,IF(AND(MONTH(C1792)&gt;=4,MONTH(C1792)&lt;=6),2,IF(AND(MONTH(C1792)&gt;=7,MONTH(C1792)&lt;=9),3,4))))</f>
        <v>3</v>
      </c>
      <c r="D1793" s="44"/>
      <c r="E1793" s="29" t="s">
        <v>39</v>
      </c>
      <c r="F1793" s="30"/>
    </row>
    <row r="1794" spans="1:10" ht="14.1" customHeight="1" x14ac:dyDescent="0.25"/>
    <row r="1795" spans="1:10" ht="14.1" customHeight="1" thickBot="1" x14ac:dyDescent="0.3">
      <c r="A1795" s="32" t="s">
        <v>40</v>
      </c>
      <c r="B1795" s="32" t="s">
        <v>41</v>
      </c>
      <c r="C1795" s="32" t="s">
        <v>42</v>
      </c>
      <c r="D1795" s="32" t="s">
        <v>43</v>
      </c>
      <c r="E1795" s="32" t="s">
        <v>44</v>
      </c>
      <c r="F1795" s="32" t="s">
        <v>45</v>
      </c>
    </row>
    <row r="1796" spans="1:10" ht="14.1" customHeight="1" x14ac:dyDescent="0.25">
      <c r="A1796" s="33" t="s">
        <v>325</v>
      </c>
      <c r="B1796" s="34" t="str">
        <f ca="1">IFERROR(INDEX(UNSPSCDes,MATCH(INDIRECT(ADDRESS(ROW(),COLUMN()-1,4)),UNSPSCCode,0)),IF(INDIRECT(ADDRESS(ROW(),COLUMN()-1,4))="51161812","Combinación de acetaminofen y clorfeniramina",""))</f>
        <v>Combinación de acetaminofen y clorfeniramina</v>
      </c>
      <c r="C1796" s="35" t="str">
        <f>IFERROR(VLOOKUP("CAJ",'[1]Informacion '!P:Q,2,FALSE),"")</f>
        <v>Caja</v>
      </c>
      <c r="D1796" s="33">
        <v>4</v>
      </c>
      <c r="E1796" s="36">
        <v>1800</v>
      </c>
      <c r="F1796" s="37">
        <f t="shared" ref="F1796:F1806" ca="1" si="41">INDIRECT(ADDRESS(ROW(),COLUMN()-2,4))*INDIRECT(ADDRESS(ROW(),COLUMN()-1,4))</f>
        <v>7200</v>
      </c>
    </row>
    <row r="1797" spans="1:10" ht="14.1" customHeight="1" x14ac:dyDescent="0.25">
      <c r="A1797" s="33" t="s">
        <v>326</v>
      </c>
      <c r="B1797" s="34" t="str">
        <f ca="1">IFERROR(INDEX(UNSPSCDes,MATCH(INDIRECT(ADDRESS(ROW(),COLUMN()-1,4)),UNSPSCCode,0)),IF(INDIRECT(ADDRESS(ROW(),COLUMN()-1,4))="51171609","Ácido dehidrocólico",""))</f>
        <v>Ácido dehidrocólico</v>
      </c>
      <c r="C1797" s="35" t="str">
        <f>IFERROR(VLOOKUP("CAJ",'[1]Informacion '!P:Q,2,FALSE),"")</f>
        <v>Caja</v>
      </c>
      <c r="D1797" s="33">
        <v>4</v>
      </c>
      <c r="E1797" s="36">
        <v>3000</v>
      </c>
      <c r="F1797" s="37">
        <f t="shared" ca="1" si="41"/>
        <v>12000</v>
      </c>
    </row>
    <row r="1798" spans="1:10" ht="14.1" customHeight="1" x14ac:dyDescent="0.25">
      <c r="A1798" s="33" t="s">
        <v>327</v>
      </c>
      <c r="B1798" s="34" t="str">
        <f ca="1">IFERROR(INDEX(UNSPSCDes,MATCH(INDIRECT(ADDRESS(ROW(),COLUMN()-1,4)),UNSPSCCode,0)),IF(INDIRECT(ADDRESS(ROW(),COLUMN()-1,4))="51171704","Nifuroxazida",""))</f>
        <v>Nifuroxazida</v>
      </c>
      <c r="C1798" s="35" t="str">
        <f>IFERROR(VLOOKUP("CAJ",'[1]Informacion '!P:Q,2,FALSE),"")</f>
        <v>Caja</v>
      </c>
      <c r="D1798" s="33">
        <v>4</v>
      </c>
      <c r="E1798" s="36">
        <v>2000</v>
      </c>
      <c r="F1798" s="37">
        <f t="shared" ca="1" si="41"/>
        <v>8000</v>
      </c>
    </row>
    <row r="1799" spans="1:10" ht="14.1" customHeight="1" x14ac:dyDescent="0.25">
      <c r="A1799" s="33" t="s">
        <v>328</v>
      </c>
      <c r="B1799" s="34" t="str">
        <f ca="1">IFERROR(INDEX(UNSPSCDes,MATCH(INDIRECT(ADDRESS(ROW(),COLUMN()-1,4)),UNSPSCCode,0)),IF(INDIRECT(ADDRESS(ROW(),COLUMN()-1,4))="51171807","Cinarizina",""))</f>
        <v>Cinarizina</v>
      </c>
      <c r="C1799" s="35" t="str">
        <f>IFERROR(VLOOKUP("CAJ",'[1]Informacion '!P:Q,2,FALSE),"")</f>
        <v>Caja</v>
      </c>
      <c r="D1799" s="33">
        <v>4</v>
      </c>
      <c r="E1799" s="36">
        <v>2500</v>
      </c>
      <c r="F1799" s="37">
        <f t="shared" ca="1" si="41"/>
        <v>10000</v>
      </c>
    </row>
    <row r="1800" spans="1:10" ht="14.1" customHeight="1" x14ac:dyDescent="0.25">
      <c r="A1800" s="33" t="s">
        <v>329</v>
      </c>
      <c r="B1800" s="34" t="str">
        <f ca="1">IFERROR(INDEX(UNSPSCDes,MATCH(INDIRECT(ADDRESS(ROW(),COLUMN()-1,4)),UNSPSCCode,0)),IF(INDIRECT(ADDRESS(ROW(),COLUMN()-1,4))="51102710","Antisépticos basados en alcohol o acetona",""))</f>
        <v>Antisépticos basados en alcohol o acetona</v>
      </c>
      <c r="C1800" s="35" t="str">
        <f>IFERROR(VLOOKUP("UD",'[1]Informacion '!P:Q,2,FALSE),"")</f>
        <v>Unidad</v>
      </c>
      <c r="D1800" s="33">
        <v>4</v>
      </c>
      <c r="E1800" s="36">
        <v>300</v>
      </c>
      <c r="F1800" s="37">
        <f t="shared" ca="1" si="41"/>
        <v>1200</v>
      </c>
    </row>
    <row r="1801" spans="1:10" ht="14.1" customHeight="1" x14ac:dyDescent="0.25">
      <c r="A1801" s="33" t="s">
        <v>330</v>
      </c>
      <c r="B1801" s="34" t="str">
        <f ca="1">IFERROR(INDEX(UNSPSCDes,MATCH(INDIRECT(ADDRESS(ROW(),COLUMN()-1,4)),UNSPSCCode,0)),IF(INDIRECT(ADDRESS(ROW(),COLUMN()-1,4))="51171904","Clorhidrato de ranitidina",""))</f>
        <v>Clorhidrato de ranitidina</v>
      </c>
      <c r="C1801" s="35" t="str">
        <f>IFERROR(VLOOKUP("CAJ",'[1]Informacion '!P:Q,2,FALSE),"")</f>
        <v>Caja</v>
      </c>
      <c r="D1801" s="33">
        <v>2</v>
      </c>
      <c r="E1801" s="36">
        <v>1500</v>
      </c>
      <c r="F1801" s="37">
        <f t="shared" ca="1" si="41"/>
        <v>3000</v>
      </c>
    </row>
    <row r="1802" spans="1:10" ht="14.1" customHeight="1" x14ac:dyDescent="0.25">
      <c r="A1802" s="33" t="s">
        <v>331</v>
      </c>
      <c r="B1802" s="34" t="str">
        <f ca="1">IFERROR(INDEX(UNSPSCDes,MATCH(INDIRECT(ADDRESS(ROW(),COLUMN()-1,4)),UNSPSCCode,0)),IF(INDIRECT(ADDRESS(ROW(),COLUMN()-1,4))="53131615","Productos para la higiene femenina",""))</f>
        <v>Productos para la higiene femenina</v>
      </c>
      <c r="C1802" s="35" t="str">
        <f>IFERROR(VLOOKUP("UD",'[1]Informacion '!P:Q,2,FALSE),"")</f>
        <v>Unidad</v>
      </c>
      <c r="D1802" s="33">
        <v>5</v>
      </c>
      <c r="E1802" s="36">
        <v>125</v>
      </c>
      <c r="F1802" s="37">
        <f t="shared" ca="1" si="41"/>
        <v>625</v>
      </c>
    </row>
    <row r="1803" spans="1:10" ht="14.1" customHeight="1" x14ac:dyDescent="0.25">
      <c r="A1803" s="33" t="s">
        <v>332</v>
      </c>
      <c r="B1803" s="34" t="str">
        <f ca="1">IFERROR(INDEX(UNSPSCDes,MATCH(INDIRECT(ADDRESS(ROW(),COLUMN()-1,4)),UNSPSCCode,0)),IF(INDIRECT(ADDRESS(ROW(),COLUMN()-1,4))="51241208","Cremas o ungüentos hidrofilacios",""))</f>
        <v>Cremas o ungüentos hidrofilacios</v>
      </c>
      <c r="C1803" s="35" t="str">
        <f>IFERROR(VLOOKUP("UD",'[1]Informacion '!P:Q,2,FALSE),"")</f>
        <v>Unidad</v>
      </c>
      <c r="D1803" s="33">
        <v>2</v>
      </c>
      <c r="E1803" s="36">
        <v>450</v>
      </c>
      <c r="F1803" s="37">
        <f t="shared" ca="1" si="41"/>
        <v>900</v>
      </c>
    </row>
    <row r="1804" spans="1:10" ht="14.1" customHeight="1" x14ac:dyDescent="0.25">
      <c r="A1804" s="33" t="s">
        <v>332</v>
      </c>
      <c r="B1804" s="34" t="str">
        <f ca="1">IFERROR(INDEX(UNSPSCDes,MATCH(INDIRECT(ADDRESS(ROW(),COLUMN()-1,4)),UNSPSCCode,0)),IF(INDIRECT(ADDRESS(ROW(),COLUMN()-1,4))="51241208","Cremas o ungüentos hidrofilacios",""))</f>
        <v>Cremas o ungüentos hidrofilacios</v>
      </c>
      <c r="C1804" s="35" t="str">
        <f>IFERROR(VLOOKUP("UD",'[1]Informacion '!P:Q,2,FALSE),"")</f>
        <v>Unidad</v>
      </c>
      <c r="D1804" s="33">
        <v>2</v>
      </c>
      <c r="E1804" s="36">
        <v>600</v>
      </c>
      <c r="F1804" s="37">
        <f t="shared" ca="1" si="41"/>
        <v>1200</v>
      </c>
    </row>
    <row r="1805" spans="1:10" ht="14.1" customHeight="1" x14ac:dyDescent="0.25">
      <c r="A1805" s="33" t="s">
        <v>333</v>
      </c>
      <c r="B1805" s="34" t="str">
        <f ca="1">IFERROR(INDEX(UNSPSCDes,MATCH(INDIRECT(ADDRESS(ROW(),COLUMN()-1,4)),UNSPSCCode,0)),IF(INDIRECT(ADDRESS(ROW(),COLUMN()-1,4))="51142106","Ibuprofeno",""))</f>
        <v>Ibuprofeno</v>
      </c>
      <c r="C1805" s="35" t="str">
        <f>IFERROR(VLOOKUP("CAJ",'[1]Informacion '!P:Q,2,FALSE),"")</f>
        <v>Caja</v>
      </c>
      <c r="D1805" s="33">
        <v>2</v>
      </c>
      <c r="E1805" s="36">
        <v>1680</v>
      </c>
      <c r="F1805" s="37">
        <f t="shared" ca="1" si="41"/>
        <v>3360</v>
      </c>
    </row>
    <row r="1806" spans="1:10" ht="14.1" customHeight="1" x14ac:dyDescent="0.25">
      <c r="A1806" s="33" t="s">
        <v>334</v>
      </c>
      <c r="B1806" s="34" t="str">
        <f ca="1">IFERROR(INDEX(UNSPSCDes,MATCH(INDIRECT(ADDRESS(ROW(),COLUMN()-1,4)),UNSPSCCode,0)),IF(INDIRECT(ADDRESS(ROW(),COLUMN()-1,4))="51142001","Acetaminofén",""))</f>
        <v>Acetaminofén</v>
      </c>
      <c r="C1806" s="35" t="str">
        <f>IFERROR(VLOOKUP("CAJ",'[1]Informacion '!P:Q,2,FALSE),"")</f>
        <v>Caja</v>
      </c>
      <c r="D1806" s="33">
        <v>2</v>
      </c>
      <c r="E1806" s="36">
        <v>1700</v>
      </c>
      <c r="F1806" s="37">
        <f t="shared" ca="1" si="41"/>
        <v>3400</v>
      </c>
    </row>
    <row r="1807" spans="1:10" ht="14.1" customHeight="1" x14ac:dyDescent="0.25">
      <c r="E1807" s="38" t="s">
        <v>48</v>
      </c>
      <c r="F1807" s="39">
        <f ca="1">SUM(Table105[MONTO TOTAL ESTIMADO])</f>
        <v>50885</v>
      </c>
      <c r="H1807" s="25" t="str">
        <f>C1789</f>
        <v>Bienes</v>
      </c>
      <c r="I1807" s="25" t="str">
        <f>E1789</f>
        <v>MIPYME Mujeres</v>
      </c>
      <c r="J1807" s="25" t="str">
        <f>D1789</f>
        <v>Compras por debajo del Umbral</v>
      </c>
    </row>
    <row r="1808" spans="1:10" ht="14.1" customHeight="1" x14ac:dyDescent="0.25"/>
    <row r="1809" spans="1:6" ht="34.15" customHeight="1" thickBot="1" x14ac:dyDescent="0.3">
      <c r="A1809" s="24" t="s">
        <v>19</v>
      </c>
      <c r="B1809" s="24" t="s">
        <v>20</v>
      </c>
      <c r="C1809" s="24" t="s">
        <v>21</v>
      </c>
      <c r="D1809" s="24" t="s">
        <v>22</v>
      </c>
      <c r="E1809" s="24" t="s">
        <v>23</v>
      </c>
      <c r="F1809" s="24" t="s">
        <v>24</v>
      </c>
    </row>
    <row r="1810" spans="1:6" ht="14.1" customHeight="1" thickBot="1" x14ac:dyDescent="0.3">
      <c r="A1810" s="26" t="s">
        <v>324</v>
      </c>
      <c r="B1810" s="26" t="s">
        <v>324</v>
      </c>
      <c r="C1810" s="26" t="s">
        <v>27</v>
      </c>
      <c r="D1810" s="26" t="s">
        <v>53</v>
      </c>
      <c r="E1810" s="26" t="s">
        <v>225</v>
      </c>
      <c r="F1810" s="26"/>
    </row>
    <row r="1811" spans="1:6" ht="14.1" customHeight="1" thickBot="1" x14ac:dyDescent="0.3">
      <c r="A1811" s="43" t="s">
        <v>30</v>
      </c>
      <c r="B1811" s="27" t="s">
        <v>31</v>
      </c>
      <c r="C1811" s="28">
        <v>44835</v>
      </c>
      <c r="D1811" s="43" t="s">
        <v>32</v>
      </c>
      <c r="E1811" s="29" t="s">
        <v>33</v>
      </c>
      <c r="F1811" s="30" t="s">
        <v>34</v>
      </c>
    </row>
    <row r="1812" spans="1:6" ht="14.1" customHeight="1" thickBot="1" x14ac:dyDescent="0.3">
      <c r="A1812" s="44"/>
      <c r="B1812" s="27" t="s">
        <v>35</v>
      </c>
      <c r="C1812" s="31">
        <f>IF(C1811="","",IF(AND(MONTH(C1811)&gt;=1,MONTH(C1811)&lt;=3),1,IF(AND(MONTH(C1811)&gt;=4,MONTH(C1811)&lt;=6),2,IF(AND(MONTH(C1811)&gt;=7,MONTH(C1811)&lt;=9),3,4))))</f>
        <v>4</v>
      </c>
      <c r="D1812" s="44"/>
      <c r="E1812" s="29" t="s">
        <v>36</v>
      </c>
      <c r="F1812" s="30"/>
    </row>
    <row r="1813" spans="1:6" ht="14.1" customHeight="1" thickBot="1" x14ac:dyDescent="0.3">
      <c r="A1813" s="44"/>
      <c r="B1813" s="27" t="s">
        <v>37</v>
      </c>
      <c r="C1813" s="28">
        <v>44926</v>
      </c>
      <c r="D1813" s="44"/>
      <c r="E1813" s="29" t="s">
        <v>38</v>
      </c>
      <c r="F1813" s="30"/>
    </row>
    <row r="1814" spans="1:6" ht="14.1" customHeight="1" thickBot="1" x14ac:dyDescent="0.3">
      <c r="A1814" s="44"/>
      <c r="B1814" s="27" t="s">
        <v>35</v>
      </c>
      <c r="C1814" s="31">
        <f>IF(C1813="","",IF(AND(MONTH(C1813)&gt;=1,MONTH(C1813)&lt;=3),1,IF(AND(MONTH(C1813)&gt;=4,MONTH(C1813)&lt;=6),2,IF(AND(MONTH(C1813)&gt;=7,MONTH(C1813)&lt;=9),3,4))))</f>
        <v>4</v>
      </c>
      <c r="D1814" s="44"/>
      <c r="E1814" s="29" t="s">
        <v>39</v>
      </c>
      <c r="F1814" s="30"/>
    </row>
    <row r="1815" spans="1:6" ht="14.1" customHeight="1" x14ac:dyDescent="0.25"/>
    <row r="1816" spans="1:6" ht="14.1" customHeight="1" thickBot="1" x14ac:dyDescent="0.3">
      <c r="A1816" s="32" t="s">
        <v>40</v>
      </c>
      <c r="B1816" s="32" t="s">
        <v>41</v>
      </c>
      <c r="C1816" s="32" t="s">
        <v>42</v>
      </c>
      <c r="D1816" s="32" t="s">
        <v>43</v>
      </c>
      <c r="E1816" s="32" t="s">
        <v>44</v>
      </c>
      <c r="F1816" s="32" t="s">
        <v>45</v>
      </c>
    </row>
    <row r="1817" spans="1:6" ht="14.1" customHeight="1" x14ac:dyDescent="0.25">
      <c r="A1817" s="33" t="s">
        <v>325</v>
      </c>
      <c r="B1817" s="34" t="str">
        <f ca="1">IFERROR(INDEX(UNSPSCDes,MATCH(INDIRECT(ADDRESS(ROW(),COLUMN()-1,4)),UNSPSCCode,0)),IF(INDIRECT(ADDRESS(ROW(),COLUMN()-1,4))="51161812","Combinación de acetaminofen y clorfeniramina",""))</f>
        <v>Combinación de acetaminofen y clorfeniramina</v>
      </c>
      <c r="C1817" s="35" t="str">
        <f>IFERROR(VLOOKUP("CAJ",'[1]Informacion '!P:Q,2,FALSE),"")</f>
        <v>Caja</v>
      </c>
      <c r="D1817" s="33">
        <v>4</v>
      </c>
      <c r="E1817" s="36">
        <v>1800</v>
      </c>
      <c r="F1817" s="37">
        <f t="shared" ref="F1817:F1827" ca="1" si="42">INDIRECT(ADDRESS(ROW(),COLUMN()-2,4))*INDIRECT(ADDRESS(ROW(),COLUMN()-1,4))</f>
        <v>7200</v>
      </c>
    </row>
    <row r="1818" spans="1:6" ht="14.1" customHeight="1" x14ac:dyDescent="0.25">
      <c r="A1818" s="33" t="s">
        <v>326</v>
      </c>
      <c r="B1818" s="34" t="str">
        <f ca="1">IFERROR(INDEX(UNSPSCDes,MATCH(INDIRECT(ADDRESS(ROW(),COLUMN()-1,4)),UNSPSCCode,0)),IF(INDIRECT(ADDRESS(ROW(),COLUMN()-1,4))="51171609","Ácido dehidrocólico",""))</f>
        <v>Ácido dehidrocólico</v>
      </c>
      <c r="C1818" s="35" t="str">
        <f>IFERROR(VLOOKUP("CAJ",'[1]Informacion '!P:Q,2,FALSE),"")</f>
        <v>Caja</v>
      </c>
      <c r="D1818" s="33">
        <v>4</v>
      </c>
      <c r="E1818" s="36">
        <v>3000</v>
      </c>
      <c r="F1818" s="37">
        <f t="shared" ca="1" si="42"/>
        <v>12000</v>
      </c>
    </row>
    <row r="1819" spans="1:6" ht="14.1" customHeight="1" x14ac:dyDescent="0.25">
      <c r="A1819" s="33" t="s">
        <v>327</v>
      </c>
      <c r="B1819" s="34" t="str">
        <f ca="1">IFERROR(INDEX(UNSPSCDes,MATCH(INDIRECT(ADDRESS(ROW(),COLUMN()-1,4)),UNSPSCCode,0)),IF(INDIRECT(ADDRESS(ROW(),COLUMN()-1,4))="51171704","Nifuroxazida",""))</f>
        <v>Nifuroxazida</v>
      </c>
      <c r="C1819" s="35" t="str">
        <f>IFERROR(VLOOKUP("CAJ",'[1]Informacion '!P:Q,2,FALSE),"")</f>
        <v>Caja</v>
      </c>
      <c r="D1819" s="33">
        <v>4</v>
      </c>
      <c r="E1819" s="36">
        <v>2000</v>
      </c>
      <c r="F1819" s="37">
        <f t="shared" ca="1" si="42"/>
        <v>8000</v>
      </c>
    </row>
    <row r="1820" spans="1:6" ht="14.1" customHeight="1" x14ac:dyDescent="0.25">
      <c r="A1820" s="33" t="s">
        <v>328</v>
      </c>
      <c r="B1820" s="34" t="str">
        <f ca="1">IFERROR(INDEX(UNSPSCDes,MATCH(INDIRECT(ADDRESS(ROW(),COLUMN()-1,4)),UNSPSCCode,0)),IF(INDIRECT(ADDRESS(ROW(),COLUMN()-1,4))="51171807","Cinarizina",""))</f>
        <v>Cinarizina</v>
      </c>
      <c r="C1820" s="35" t="str">
        <f>IFERROR(VLOOKUP("CAJ",'[1]Informacion '!P:Q,2,FALSE),"")</f>
        <v>Caja</v>
      </c>
      <c r="D1820" s="33">
        <v>4</v>
      </c>
      <c r="E1820" s="36">
        <v>2500</v>
      </c>
      <c r="F1820" s="37">
        <f t="shared" ca="1" si="42"/>
        <v>10000</v>
      </c>
    </row>
    <row r="1821" spans="1:6" ht="14.1" customHeight="1" x14ac:dyDescent="0.25">
      <c r="A1821" s="33" t="s">
        <v>329</v>
      </c>
      <c r="B1821" s="34" t="str">
        <f ca="1">IFERROR(INDEX(UNSPSCDes,MATCH(INDIRECT(ADDRESS(ROW(),COLUMN()-1,4)),UNSPSCCode,0)),IF(INDIRECT(ADDRESS(ROW(),COLUMN()-1,4))="51102710","Antisépticos basados en alcohol o acetona",""))</f>
        <v>Antisépticos basados en alcohol o acetona</v>
      </c>
      <c r="C1821" s="35" t="str">
        <f>IFERROR(VLOOKUP("UD",'[1]Informacion '!P:Q,2,FALSE),"")</f>
        <v>Unidad</v>
      </c>
      <c r="D1821" s="33">
        <v>4</v>
      </c>
      <c r="E1821" s="36">
        <v>300</v>
      </c>
      <c r="F1821" s="37">
        <f t="shared" ca="1" si="42"/>
        <v>1200</v>
      </c>
    </row>
    <row r="1822" spans="1:6" ht="14.1" customHeight="1" x14ac:dyDescent="0.25">
      <c r="A1822" s="33" t="s">
        <v>330</v>
      </c>
      <c r="B1822" s="34" t="str">
        <f ca="1">IFERROR(INDEX(UNSPSCDes,MATCH(INDIRECT(ADDRESS(ROW(),COLUMN()-1,4)),UNSPSCCode,0)),IF(INDIRECT(ADDRESS(ROW(),COLUMN()-1,4))="51171904","Clorhidrato de ranitidina",""))</f>
        <v>Clorhidrato de ranitidina</v>
      </c>
      <c r="C1822" s="35" t="str">
        <f>IFERROR(VLOOKUP("UD",'[1]Informacion '!P:Q,2,FALSE),"")</f>
        <v>Unidad</v>
      </c>
      <c r="D1822" s="33">
        <v>2</v>
      </c>
      <c r="E1822" s="36">
        <v>1500</v>
      </c>
      <c r="F1822" s="37">
        <f t="shared" ca="1" si="42"/>
        <v>3000</v>
      </c>
    </row>
    <row r="1823" spans="1:6" ht="14.1" customHeight="1" x14ac:dyDescent="0.25">
      <c r="A1823" s="33" t="s">
        <v>331</v>
      </c>
      <c r="B1823" s="34" t="str">
        <f ca="1">IFERROR(INDEX(UNSPSCDes,MATCH(INDIRECT(ADDRESS(ROW(),COLUMN()-1,4)),UNSPSCCode,0)),IF(INDIRECT(ADDRESS(ROW(),COLUMN()-1,4))="53131615","Productos para la higiene femenina",""))</f>
        <v>Productos para la higiene femenina</v>
      </c>
      <c r="C1823" s="35" t="str">
        <f>IFERROR(VLOOKUP("UD",'[1]Informacion '!P:Q,2,FALSE),"")</f>
        <v>Unidad</v>
      </c>
      <c r="D1823" s="33">
        <v>5</v>
      </c>
      <c r="E1823" s="36">
        <v>125</v>
      </c>
      <c r="F1823" s="37">
        <f t="shared" ca="1" si="42"/>
        <v>625</v>
      </c>
    </row>
    <row r="1824" spans="1:6" ht="14.1" customHeight="1" x14ac:dyDescent="0.25">
      <c r="A1824" s="33" t="s">
        <v>332</v>
      </c>
      <c r="B1824" s="34" t="str">
        <f ca="1">IFERROR(INDEX(UNSPSCDes,MATCH(INDIRECT(ADDRESS(ROW(),COLUMN()-1,4)),UNSPSCCode,0)),IF(INDIRECT(ADDRESS(ROW(),COLUMN()-1,4))="51241208","Cremas o ungüentos hidrofilacios",""))</f>
        <v>Cremas o ungüentos hidrofilacios</v>
      </c>
      <c r="C1824" s="35" t="str">
        <f>IFERROR(VLOOKUP("UD",'[1]Informacion '!P:Q,2,FALSE),"")</f>
        <v>Unidad</v>
      </c>
      <c r="D1824" s="33">
        <v>2</v>
      </c>
      <c r="E1824" s="36">
        <v>450</v>
      </c>
      <c r="F1824" s="37">
        <f t="shared" ca="1" si="42"/>
        <v>900</v>
      </c>
    </row>
    <row r="1825" spans="1:10" ht="14.1" customHeight="1" x14ac:dyDescent="0.25">
      <c r="A1825" s="33" t="s">
        <v>332</v>
      </c>
      <c r="B1825" s="34" t="str">
        <f ca="1">IFERROR(INDEX(UNSPSCDes,MATCH(INDIRECT(ADDRESS(ROW(),COLUMN()-1,4)),UNSPSCCode,0)),IF(INDIRECT(ADDRESS(ROW(),COLUMN()-1,4))="51241208","Cremas o ungüentos hidrofilacios",""))</f>
        <v>Cremas o ungüentos hidrofilacios</v>
      </c>
      <c r="C1825" s="35" t="str">
        <f>IFERROR(VLOOKUP("UD",'[1]Informacion '!P:Q,2,FALSE),"")</f>
        <v>Unidad</v>
      </c>
      <c r="D1825" s="33">
        <v>2</v>
      </c>
      <c r="E1825" s="36">
        <v>600</v>
      </c>
      <c r="F1825" s="37">
        <f t="shared" ca="1" si="42"/>
        <v>1200</v>
      </c>
    </row>
    <row r="1826" spans="1:10" ht="14.1" customHeight="1" x14ac:dyDescent="0.25">
      <c r="A1826" s="33" t="s">
        <v>333</v>
      </c>
      <c r="B1826" s="34" t="str">
        <f ca="1">IFERROR(INDEX(UNSPSCDes,MATCH(INDIRECT(ADDRESS(ROW(),COLUMN()-1,4)),UNSPSCCode,0)),IF(INDIRECT(ADDRESS(ROW(),COLUMN()-1,4))="51142106","Ibuprofeno",""))</f>
        <v>Ibuprofeno</v>
      </c>
      <c r="C1826" s="35" t="str">
        <f>IFERROR(VLOOKUP("CAJ",'[1]Informacion '!P:Q,2,FALSE),"")</f>
        <v>Caja</v>
      </c>
      <c r="D1826" s="33">
        <v>2</v>
      </c>
      <c r="E1826" s="36">
        <v>1680</v>
      </c>
      <c r="F1826" s="37">
        <f t="shared" ca="1" si="42"/>
        <v>3360</v>
      </c>
    </row>
    <row r="1827" spans="1:10" ht="14.1" customHeight="1" x14ac:dyDescent="0.25">
      <c r="A1827" s="33" t="s">
        <v>334</v>
      </c>
      <c r="B1827" s="34" t="str">
        <f ca="1">IFERROR(INDEX(UNSPSCDes,MATCH(INDIRECT(ADDRESS(ROW(),COLUMN()-1,4)),UNSPSCCode,0)),IF(INDIRECT(ADDRESS(ROW(),COLUMN()-1,4))="51142001","Acetaminofén",""))</f>
        <v>Acetaminofén</v>
      </c>
      <c r="C1827" s="35" t="str">
        <f>IFERROR(VLOOKUP("CAJ",'[1]Informacion '!P:Q,2,FALSE),"")</f>
        <v>Caja</v>
      </c>
      <c r="D1827" s="33">
        <v>2</v>
      </c>
      <c r="E1827" s="36">
        <v>1700</v>
      </c>
      <c r="F1827" s="37">
        <f t="shared" ca="1" si="42"/>
        <v>3400</v>
      </c>
    </row>
    <row r="1828" spans="1:10" ht="14.1" customHeight="1" x14ac:dyDescent="0.25">
      <c r="E1828" s="38" t="s">
        <v>48</v>
      </c>
      <c r="F1828" s="39">
        <f ca="1">SUM(Table106[MONTO TOTAL ESTIMADO])</f>
        <v>50885</v>
      </c>
      <c r="H1828" s="25" t="str">
        <f>C1810</f>
        <v>Bienes</v>
      </c>
      <c r="I1828" s="25" t="str">
        <f>E1810</f>
        <v>MIPYME Mujeres</v>
      </c>
      <c r="J1828" s="25" t="str">
        <f>D1810</f>
        <v>Compras por debajo del Umbral</v>
      </c>
    </row>
    <row r="1829" spans="1:10" ht="14.1" customHeight="1" x14ac:dyDescent="0.25"/>
    <row r="1830" spans="1:10" ht="34.15" customHeight="1" thickBot="1" x14ac:dyDescent="0.3">
      <c r="A1830" s="24" t="s">
        <v>19</v>
      </c>
      <c r="B1830" s="24" t="s">
        <v>20</v>
      </c>
      <c r="C1830" s="24" t="s">
        <v>21</v>
      </c>
      <c r="D1830" s="24" t="s">
        <v>22</v>
      </c>
      <c r="E1830" s="24" t="s">
        <v>23</v>
      </c>
      <c r="F1830" s="24" t="s">
        <v>24</v>
      </c>
    </row>
    <row r="1831" spans="1:10" ht="14.1" customHeight="1" thickBot="1" x14ac:dyDescent="0.3">
      <c r="A1831" s="26" t="s">
        <v>336</v>
      </c>
      <c r="B1831" s="26" t="s">
        <v>337</v>
      </c>
      <c r="C1831" s="26" t="s">
        <v>64</v>
      </c>
      <c r="D1831" s="26" t="s">
        <v>53</v>
      </c>
      <c r="E1831" s="26" t="s">
        <v>225</v>
      </c>
      <c r="F1831" s="26"/>
    </row>
    <row r="1832" spans="1:10" ht="14.1" customHeight="1" thickBot="1" x14ac:dyDescent="0.3">
      <c r="A1832" s="43" t="s">
        <v>30</v>
      </c>
      <c r="B1832" s="27" t="s">
        <v>31</v>
      </c>
      <c r="C1832" s="28">
        <v>44576</v>
      </c>
      <c r="D1832" s="43" t="s">
        <v>32</v>
      </c>
      <c r="E1832" s="29" t="s">
        <v>33</v>
      </c>
      <c r="F1832" s="30" t="s">
        <v>34</v>
      </c>
    </row>
    <row r="1833" spans="1:10" ht="14.1" customHeight="1" thickBot="1" x14ac:dyDescent="0.3">
      <c r="A1833" s="44"/>
      <c r="B1833" s="27" t="s">
        <v>35</v>
      </c>
      <c r="C1833" s="31">
        <f>IF(C1832="","",IF(AND(MONTH(C1832)&gt;=1,MONTH(C1832)&lt;=3),1,IF(AND(MONTH(C1832)&gt;=4,MONTH(C1832)&lt;=6),2,IF(AND(MONTH(C1832)&gt;=7,MONTH(C1832)&lt;=9),3,4))))</f>
        <v>1</v>
      </c>
      <c r="D1833" s="44"/>
      <c r="E1833" s="29" t="s">
        <v>36</v>
      </c>
      <c r="F1833" s="30"/>
    </row>
    <row r="1834" spans="1:10" ht="14.1" customHeight="1" thickBot="1" x14ac:dyDescent="0.3">
      <c r="A1834" s="44"/>
      <c r="B1834" s="27" t="s">
        <v>37</v>
      </c>
      <c r="C1834" s="28">
        <v>44651</v>
      </c>
      <c r="D1834" s="44"/>
      <c r="E1834" s="29" t="s">
        <v>38</v>
      </c>
      <c r="F1834" s="30"/>
    </row>
    <row r="1835" spans="1:10" ht="14.1" customHeight="1" thickBot="1" x14ac:dyDescent="0.3">
      <c r="A1835" s="44"/>
      <c r="B1835" s="27" t="s">
        <v>35</v>
      </c>
      <c r="C1835" s="31">
        <f>IF(C1834="","",IF(AND(MONTH(C1834)&gt;=1,MONTH(C1834)&lt;=3),1,IF(AND(MONTH(C1834)&gt;=4,MONTH(C1834)&lt;=6),2,IF(AND(MONTH(C1834)&gt;=7,MONTH(C1834)&lt;=9),3,4))))</f>
        <v>1</v>
      </c>
      <c r="D1835" s="44"/>
      <c r="E1835" s="29" t="s">
        <v>39</v>
      </c>
      <c r="F1835" s="30"/>
    </row>
    <row r="1836" spans="1:10" ht="14.1" customHeight="1" x14ac:dyDescent="0.25"/>
    <row r="1837" spans="1:10" ht="14.1" customHeight="1" thickBot="1" x14ac:dyDescent="0.3">
      <c r="A1837" s="32" t="s">
        <v>40</v>
      </c>
      <c r="B1837" s="32" t="s">
        <v>41</v>
      </c>
      <c r="C1837" s="32" t="s">
        <v>42</v>
      </c>
      <c r="D1837" s="32" t="s">
        <v>43</v>
      </c>
      <c r="E1837" s="32" t="s">
        <v>44</v>
      </c>
      <c r="F1837" s="32" t="s">
        <v>45</v>
      </c>
    </row>
    <row r="1838" spans="1:10" ht="14.1" customHeight="1" x14ac:dyDescent="0.25">
      <c r="A1838" s="33" t="s">
        <v>338</v>
      </c>
      <c r="B1838" s="34" t="str">
        <f ca="1">IFERROR(INDEX(UNSPSCDes,MATCH(INDIRECT(ADDRESS(ROW(),COLUMN()-1,4)),UNSPSCCode,0)),IF(INDIRECT(ADDRESS(ROW(),COLUMN()-1,4))="10161707","Arreglo de flores cortadas",""))</f>
        <v>Arreglo de flores cortadas</v>
      </c>
      <c r="C1838" s="35" t="str">
        <f>IFERROR(VLOOKUP("UD",'[1]Informacion '!P:Q,2,FALSE),"")</f>
        <v>Unidad</v>
      </c>
      <c r="D1838" s="33">
        <v>1</v>
      </c>
      <c r="E1838" s="36">
        <v>200000</v>
      </c>
      <c r="F1838" s="37">
        <f ca="1">INDIRECT(ADDRESS(ROW(),COLUMN()-2,4))*INDIRECT(ADDRESS(ROW(),COLUMN()-1,4))</f>
        <v>200000</v>
      </c>
    </row>
    <row r="1839" spans="1:10" ht="14.1" customHeight="1" x14ac:dyDescent="0.25">
      <c r="A1839" s="33" t="s">
        <v>338</v>
      </c>
      <c r="B1839" s="34" t="str">
        <f ca="1">IFERROR(INDEX(UNSPSCDes,MATCH(INDIRECT(ADDRESS(ROW(),COLUMN()-1,4)),UNSPSCCode,0)),IF(INDIRECT(ADDRESS(ROW(),COLUMN()-1,4))="10161707","Arreglo de flores cortadas",""))</f>
        <v>Arreglo de flores cortadas</v>
      </c>
      <c r="C1839" s="35" t="str">
        <f>IFERROR(VLOOKUP("UD",'[1]Informacion '!P:Q,2,FALSE),"")</f>
        <v>Unidad</v>
      </c>
      <c r="D1839" s="33">
        <v>20</v>
      </c>
      <c r="E1839" s="36">
        <v>2000</v>
      </c>
      <c r="F1839" s="37">
        <f ca="1">INDIRECT(ADDRESS(ROW(),COLUMN()-2,4))*INDIRECT(ADDRESS(ROW(),COLUMN()-1,4))</f>
        <v>40000</v>
      </c>
    </row>
    <row r="1840" spans="1:10" ht="14.1" customHeight="1" x14ac:dyDescent="0.25">
      <c r="E1840" s="38" t="s">
        <v>48</v>
      </c>
      <c r="F1840" s="39">
        <f ca="1">SUM(Table107[MONTO TOTAL ESTIMADO])</f>
        <v>240000</v>
      </c>
      <c r="H1840" s="25" t="str">
        <f>C1831</f>
        <v>Servicios</v>
      </c>
      <c r="I1840" s="25" t="str">
        <f>E1831</f>
        <v>MIPYME Mujeres</v>
      </c>
      <c r="J1840" s="25" t="str">
        <f>D1831</f>
        <v>Compras por debajo del Umbral</v>
      </c>
    </row>
    <row r="1841" spans="1:10" ht="14.1" customHeight="1" x14ac:dyDescent="0.25"/>
    <row r="1842" spans="1:10" ht="34.15" customHeight="1" thickBot="1" x14ac:dyDescent="0.3">
      <c r="A1842" s="24" t="s">
        <v>19</v>
      </c>
      <c r="B1842" s="24" t="s">
        <v>20</v>
      </c>
      <c r="C1842" s="24" t="s">
        <v>21</v>
      </c>
      <c r="D1842" s="24" t="s">
        <v>22</v>
      </c>
      <c r="E1842" s="24" t="s">
        <v>23</v>
      </c>
      <c r="F1842" s="24" t="s">
        <v>24</v>
      </c>
    </row>
    <row r="1843" spans="1:10" ht="14.1" customHeight="1" thickBot="1" x14ac:dyDescent="0.3">
      <c r="A1843" s="26" t="s">
        <v>336</v>
      </c>
      <c r="B1843" s="26" t="s">
        <v>339</v>
      </c>
      <c r="C1843" s="26" t="s">
        <v>27</v>
      </c>
      <c r="D1843" s="26" t="s">
        <v>53</v>
      </c>
      <c r="E1843" s="26" t="s">
        <v>225</v>
      </c>
      <c r="F1843" s="26"/>
    </row>
    <row r="1844" spans="1:10" ht="14.1" customHeight="1" thickBot="1" x14ac:dyDescent="0.3">
      <c r="A1844" s="43" t="s">
        <v>30</v>
      </c>
      <c r="B1844" s="27" t="s">
        <v>31</v>
      </c>
      <c r="C1844" s="28">
        <v>44743</v>
      </c>
      <c r="D1844" s="43" t="s">
        <v>32</v>
      </c>
      <c r="E1844" s="29" t="s">
        <v>33</v>
      </c>
      <c r="F1844" s="30" t="s">
        <v>34</v>
      </c>
    </row>
    <row r="1845" spans="1:10" ht="14.1" customHeight="1" thickBot="1" x14ac:dyDescent="0.3">
      <c r="A1845" s="44"/>
      <c r="B1845" s="27" t="s">
        <v>35</v>
      </c>
      <c r="C1845" s="31">
        <f>IF(C1844="","",IF(AND(MONTH(C1844)&gt;=1,MONTH(C1844)&lt;=3),1,IF(AND(MONTH(C1844)&gt;=4,MONTH(C1844)&lt;=6),2,IF(AND(MONTH(C1844)&gt;=7,MONTH(C1844)&lt;=9),3,4))))</f>
        <v>3</v>
      </c>
      <c r="D1845" s="44"/>
      <c r="E1845" s="29" t="s">
        <v>36</v>
      </c>
      <c r="F1845" s="30"/>
    </row>
    <row r="1846" spans="1:10" ht="14.1" customHeight="1" thickBot="1" x14ac:dyDescent="0.3">
      <c r="A1846" s="44"/>
      <c r="B1846" s="27" t="s">
        <v>37</v>
      </c>
      <c r="C1846" s="28">
        <v>44834</v>
      </c>
      <c r="D1846" s="44"/>
      <c r="E1846" s="29" t="s">
        <v>38</v>
      </c>
      <c r="F1846" s="30"/>
    </row>
    <row r="1847" spans="1:10" ht="14.1" customHeight="1" thickBot="1" x14ac:dyDescent="0.3">
      <c r="A1847" s="44"/>
      <c r="B1847" s="27" t="s">
        <v>35</v>
      </c>
      <c r="C1847" s="31">
        <f>IF(C1846="","",IF(AND(MONTH(C1846)&gt;=1,MONTH(C1846)&lt;=3),1,IF(AND(MONTH(C1846)&gt;=4,MONTH(C1846)&lt;=6),2,IF(AND(MONTH(C1846)&gt;=7,MONTH(C1846)&lt;=9),3,4))))</f>
        <v>3</v>
      </c>
      <c r="D1847" s="44"/>
      <c r="E1847" s="29" t="s">
        <v>39</v>
      </c>
      <c r="F1847" s="30"/>
    </row>
    <row r="1848" spans="1:10" ht="14.1" customHeight="1" x14ac:dyDescent="0.25"/>
    <row r="1849" spans="1:10" ht="14.1" customHeight="1" thickBot="1" x14ac:dyDescent="0.3">
      <c r="A1849" s="32" t="s">
        <v>40</v>
      </c>
      <c r="B1849" s="32" t="s">
        <v>41</v>
      </c>
      <c r="C1849" s="32" t="s">
        <v>42</v>
      </c>
      <c r="D1849" s="32" t="s">
        <v>43</v>
      </c>
      <c r="E1849" s="32" t="s">
        <v>44</v>
      </c>
      <c r="F1849" s="32" t="s">
        <v>45</v>
      </c>
    </row>
    <row r="1850" spans="1:10" ht="14.1" customHeight="1" x14ac:dyDescent="0.25">
      <c r="A1850" s="33" t="s">
        <v>338</v>
      </c>
      <c r="B1850" s="34" t="str">
        <f ca="1">IFERROR(INDEX(UNSPSCDes,MATCH(INDIRECT(ADDRESS(ROW(),COLUMN()-1,4)),UNSPSCCode,0)),IF(INDIRECT(ADDRESS(ROW(),COLUMN()-1,4))="10161707","Arreglo de flores cortadas",""))</f>
        <v>Arreglo de flores cortadas</v>
      </c>
      <c r="C1850" s="35" t="str">
        <f>IFERROR(VLOOKUP("UD",'[1]Informacion '!P:Q,2,FALSE),"")</f>
        <v>Unidad</v>
      </c>
      <c r="D1850" s="33">
        <v>20</v>
      </c>
      <c r="E1850" s="36">
        <v>2000</v>
      </c>
      <c r="F1850" s="37">
        <f ca="1">INDIRECT(ADDRESS(ROW(),COLUMN()-2,4))*INDIRECT(ADDRESS(ROW(),COLUMN()-1,4))</f>
        <v>40000</v>
      </c>
    </row>
    <row r="1851" spans="1:10" ht="14.1" customHeight="1" x14ac:dyDescent="0.25">
      <c r="E1851" s="38" t="s">
        <v>48</v>
      </c>
      <c r="F1851" s="39">
        <f ca="1">SUM(Table108[MONTO TOTAL ESTIMADO])</f>
        <v>40000</v>
      </c>
      <c r="H1851" s="25" t="str">
        <f>C1843</f>
        <v>Bienes</v>
      </c>
      <c r="I1851" s="25" t="str">
        <f>E1843</f>
        <v>MIPYME Mujeres</v>
      </c>
      <c r="J1851" s="25" t="str">
        <f>D1843</f>
        <v>Compras por debajo del Umbral</v>
      </c>
    </row>
    <row r="1852" spans="1:10" ht="14.1" customHeight="1" x14ac:dyDescent="0.25"/>
    <row r="1853" spans="1:10" ht="34.15" customHeight="1" thickBot="1" x14ac:dyDescent="0.3">
      <c r="A1853" s="24" t="s">
        <v>19</v>
      </c>
      <c r="B1853" s="24" t="s">
        <v>20</v>
      </c>
      <c r="C1853" s="24" t="s">
        <v>21</v>
      </c>
      <c r="D1853" s="24" t="s">
        <v>22</v>
      </c>
      <c r="E1853" s="24" t="s">
        <v>23</v>
      </c>
      <c r="F1853" s="24" t="s">
        <v>24</v>
      </c>
    </row>
    <row r="1854" spans="1:10" ht="14.1" customHeight="1" thickBot="1" x14ac:dyDescent="0.3">
      <c r="A1854" s="26" t="s">
        <v>340</v>
      </c>
      <c r="B1854" s="26" t="s">
        <v>340</v>
      </c>
      <c r="C1854" s="26" t="s">
        <v>64</v>
      </c>
      <c r="D1854" s="26" t="s">
        <v>53</v>
      </c>
      <c r="E1854" s="26" t="s">
        <v>54</v>
      </c>
      <c r="F1854" s="26"/>
    </row>
    <row r="1855" spans="1:10" ht="14.1" customHeight="1" thickBot="1" x14ac:dyDescent="0.3">
      <c r="A1855" s="43" t="s">
        <v>30</v>
      </c>
      <c r="B1855" s="27" t="s">
        <v>31</v>
      </c>
      <c r="C1855" s="28">
        <v>44576</v>
      </c>
      <c r="D1855" s="43" t="s">
        <v>32</v>
      </c>
      <c r="E1855" s="29" t="s">
        <v>33</v>
      </c>
      <c r="F1855" s="30" t="s">
        <v>34</v>
      </c>
    </row>
    <row r="1856" spans="1:10" ht="14.1" customHeight="1" thickBot="1" x14ac:dyDescent="0.3">
      <c r="A1856" s="44"/>
      <c r="B1856" s="27" t="s">
        <v>35</v>
      </c>
      <c r="C1856" s="31">
        <f>IF(C1855="","",IF(AND(MONTH(C1855)&gt;=1,MONTH(C1855)&lt;=3),1,IF(AND(MONTH(C1855)&gt;=4,MONTH(C1855)&lt;=6),2,IF(AND(MONTH(C1855)&gt;=7,MONTH(C1855)&lt;=9),3,4))))</f>
        <v>1</v>
      </c>
      <c r="D1856" s="44"/>
      <c r="E1856" s="29" t="s">
        <v>36</v>
      </c>
      <c r="F1856" s="30"/>
    </row>
    <row r="1857" spans="1:10" ht="14.1" customHeight="1" thickBot="1" x14ac:dyDescent="0.3">
      <c r="A1857" s="44"/>
      <c r="B1857" s="27" t="s">
        <v>37</v>
      </c>
      <c r="C1857" s="28">
        <v>44651</v>
      </c>
      <c r="D1857" s="44"/>
      <c r="E1857" s="29" t="s">
        <v>38</v>
      </c>
      <c r="F1857" s="30"/>
    </row>
    <row r="1858" spans="1:10" ht="14.1" customHeight="1" thickBot="1" x14ac:dyDescent="0.3">
      <c r="A1858" s="44"/>
      <c r="B1858" s="27" t="s">
        <v>35</v>
      </c>
      <c r="C1858" s="31">
        <f>IF(C1857="","",IF(AND(MONTH(C1857)&gt;=1,MONTH(C1857)&lt;=3),1,IF(AND(MONTH(C1857)&gt;=4,MONTH(C1857)&lt;=6),2,IF(AND(MONTH(C1857)&gt;=7,MONTH(C1857)&lt;=9),3,4))))</f>
        <v>1</v>
      </c>
      <c r="D1858" s="44"/>
      <c r="E1858" s="29" t="s">
        <v>39</v>
      </c>
      <c r="F1858" s="30"/>
    </row>
    <row r="1859" spans="1:10" ht="14.1" customHeight="1" x14ac:dyDescent="0.25"/>
    <row r="1860" spans="1:10" ht="14.1" customHeight="1" thickBot="1" x14ac:dyDescent="0.3">
      <c r="A1860" s="32" t="s">
        <v>40</v>
      </c>
      <c r="B1860" s="32" t="s">
        <v>41</v>
      </c>
      <c r="C1860" s="32" t="s">
        <v>42</v>
      </c>
      <c r="D1860" s="32" t="s">
        <v>43</v>
      </c>
      <c r="E1860" s="32" t="s">
        <v>44</v>
      </c>
      <c r="F1860" s="32" t="s">
        <v>45</v>
      </c>
    </row>
    <row r="1861" spans="1:10" ht="14.1" customHeight="1" x14ac:dyDescent="0.25">
      <c r="A1861" s="33" t="s">
        <v>341</v>
      </c>
      <c r="B1861" s="34" t="str">
        <f ca="1">IFERROR(INDEX(UNSPSCDes,MATCH(INDIRECT(ADDRESS(ROW(),COLUMN()-1,4)),UNSPSCCode,0)),IF(INDIRECT(ADDRESS(ROW(),COLUMN()-1,4))="82121903","Encuadernación con pegante",""))</f>
        <v>Encuadernación con pegante</v>
      </c>
      <c r="C1861" s="35" t="str">
        <f>IFERROR(VLOOKUP("UD",'[1]Informacion '!P:Q,2,FALSE),"")</f>
        <v>Unidad</v>
      </c>
      <c r="D1861" s="33">
        <v>1</v>
      </c>
      <c r="E1861" s="36">
        <v>30000</v>
      </c>
      <c r="F1861" s="37">
        <f ca="1">INDIRECT(ADDRESS(ROW(),COLUMN()-2,4))*INDIRECT(ADDRESS(ROW(),COLUMN()-1,4))</f>
        <v>30000</v>
      </c>
    </row>
    <row r="1862" spans="1:10" ht="14.1" customHeight="1" x14ac:dyDescent="0.25">
      <c r="E1862" s="38" t="s">
        <v>48</v>
      </c>
      <c r="F1862" s="39">
        <f ca="1">SUM(Table109[MONTO TOTAL ESTIMADO])</f>
        <v>30000</v>
      </c>
      <c r="H1862" s="25" t="str">
        <f>C1854</f>
        <v>Servicios</v>
      </c>
      <c r="I1862" s="25" t="str">
        <f>E1854</f>
        <v>Sí</v>
      </c>
      <c r="J1862" s="25" t="str">
        <f>D1854</f>
        <v>Compras por debajo del Umbral</v>
      </c>
    </row>
    <row r="1863" spans="1:10" ht="14.1" customHeight="1" x14ac:dyDescent="0.25"/>
    <row r="1864" spans="1:10" ht="34.15" customHeight="1" thickBot="1" x14ac:dyDescent="0.3">
      <c r="A1864" s="24" t="s">
        <v>19</v>
      </c>
      <c r="B1864" s="24" t="s">
        <v>20</v>
      </c>
      <c r="C1864" s="24" t="s">
        <v>21</v>
      </c>
      <c r="D1864" s="24" t="s">
        <v>22</v>
      </c>
      <c r="E1864" s="24" t="s">
        <v>23</v>
      </c>
      <c r="F1864" s="24" t="s">
        <v>24</v>
      </c>
    </row>
    <row r="1865" spans="1:10" ht="14.1" customHeight="1" thickBot="1" x14ac:dyDescent="0.3">
      <c r="A1865" s="26" t="s">
        <v>340</v>
      </c>
      <c r="B1865" s="26" t="s">
        <v>340</v>
      </c>
      <c r="C1865" s="26" t="s">
        <v>64</v>
      </c>
      <c r="D1865" s="26" t="s">
        <v>53</v>
      </c>
      <c r="E1865" s="26" t="s">
        <v>54</v>
      </c>
      <c r="F1865" s="26"/>
    </row>
    <row r="1866" spans="1:10" ht="14.1" customHeight="1" thickBot="1" x14ac:dyDescent="0.3">
      <c r="A1866" s="43" t="s">
        <v>30</v>
      </c>
      <c r="B1866" s="27" t="s">
        <v>31</v>
      </c>
      <c r="C1866" s="28">
        <v>44652</v>
      </c>
      <c r="D1866" s="43" t="s">
        <v>32</v>
      </c>
      <c r="E1866" s="29" t="s">
        <v>33</v>
      </c>
      <c r="F1866" s="30" t="s">
        <v>34</v>
      </c>
    </row>
    <row r="1867" spans="1:10" ht="14.1" customHeight="1" thickBot="1" x14ac:dyDescent="0.3">
      <c r="A1867" s="44"/>
      <c r="B1867" s="27" t="s">
        <v>35</v>
      </c>
      <c r="C1867" s="31">
        <f>IF(C1866="","",IF(AND(MONTH(C1866)&gt;=1,MONTH(C1866)&lt;=3),1,IF(AND(MONTH(C1866)&gt;=4,MONTH(C1866)&lt;=6),2,IF(AND(MONTH(C1866)&gt;=7,MONTH(C1866)&lt;=9),3,4))))</f>
        <v>2</v>
      </c>
      <c r="D1867" s="44"/>
      <c r="E1867" s="29" t="s">
        <v>36</v>
      </c>
      <c r="F1867" s="30"/>
    </row>
    <row r="1868" spans="1:10" ht="14.1" customHeight="1" thickBot="1" x14ac:dyDescent="0.3">
      <c r="A1868" s="44"/>
      <c r="B1868" s="27" t="s">
        <v>37</v>
      </c>
      <c r="C1868" s="28">
        <v>44742</v>
      </c>
      <c r="D1868" s="44"/>
      <c r="E1868" s="29" t="s">
        <v>38</v>
      </c>
      <c r="F1868" s="30"/>
    </row>
    <row r="1869" spans="1:10" ht="14.1" customHeight="1" thickBot="1" x14ac:dyDescent="0.3">
      <c r="A1869" s="44"/>
      <c r="B1869" s="27" t="s">
        <v>35</v>
      </c>
      <c r="C1869" s="31">
        <f>IF(C1868="","",IF(AND(MONTH(C1868)&gt;=1,MONTH(C1868)&lt;=3),1,IF(AND(MONTH(C1868)&gt;=4,MONTH(C1868)&lt;=6),2,IF(AND(MONTH(C1868)&gt;=7,MONTH(C1868)&lt;=9),3,4))))</f>
        <v>2</v>
      </c>
      <c r="D1869" s="44"/>
      <c r="E1869" s="29" t="s">
        <v>39</v>
      </c>
      <c r="F1869" s="30"/>
    </row>
    <row r="1870" spans="1:10" ht="14.1" customHeight="1" x14ac:dyDescent="0.25"/>
    <row r="1871" spans="1:10" ht="14.1" customHeight="1" thickBot="1" x14ac:dyDescent="0.3">
      <c r="A1871" s="32" t="s">
        <v>40</v>
      </c>
      <c r="B1871" s="32" t="s">
        <v>41</v>
      </c>
      <c r="C1871" s="32" t="s">
        <v>42</v>
      </c>
      <c r="D1871" s="32" t="s">
        <v>43</v>
      </c>
      <c r="E1871" s="32" t="s">
        <v>44</v>
      </c>
      <c r="F1871" s="32" t="s">
        <v>45</v>
      </c>
    </row>
    <row r="1872" spans="1:10" ht="14.1" customHeight="1" x14ac:dyDescent="0.25">
      <c r="A1872" s="33" t="s">
        <v>341</v>
      </c>
      <c r="B1872" s="34" t="str">
        <f ca="1">IFERROR(INDEX(UNSPSCDes,MATCH(INDIRECT(ADDRESS(ROW(),COLUMN()-1,4)),UNSPSCCode,0)),IF(INDIRECT(ADDRESS(ROW(),COLUMN()-1,4))="82121903","Encuadernación con pegante",""))</f>
        <v>Encuadernación con pegante</v>
      </c>
      <c r="C1872" s="35" t="str">
        <f>IFERROR(VLOOKUP("UD",'[1]Informacion '!P:Q,2,FALSE),"")</f>
        <v>Unidad</v>
      </c>
      <c r="D1872" s="33">
        <v>1</v>
      </c>
      <c r="E1872" s="36">
        <v>30000</v>
      </c>
      <c r="F1872" s="37">
        <f ca="1">INDIRECT(ADDRESS(ROW(),COLUMN()-2,4))*INDIRECT(ADDRESS(ROW(),COLUMN()-1,4))</f>
        <v>30000</v>
      </c>
    </row>
    <row r="1873" spans="1:10" ht="14.1" customHeight="1" x14ac:dyDescent="0.25">
      <c r="E1873" s="38" t="s">
        <v>48</v>
      </c>
      <c r="F1873" s="39">
        <f ca="1">SUM(Table110[MONTO TOTAL ESTIMADO])</f>
        <v>30000</v>
      </c>
      <c r="H1873" s="25" t="str">
        <f>C1865</f>
        <v>Servicios</v>
      </c>
      <c r="I1873" s="25" t="str">
        <f>E1865</f>
        <v>Sí</v>
      </c>
      <c r="J1873" s="25" t="str">
        <f>D1865</f>
        <v>Compras por debajo del Umbral</v>
      </c>
    </row>
    <row r="1874" spans="1:10" ht="14.1" customHeight="1" x14ac:dyDescent="0.25"/>
    <row r="1875" spans="1:10" ht="34.15" customHeight="1" thickBot="1" x14ac:dyDescent="0.3">
      <c r="A1875" s="24" t="s">
        <v>19</v>
      </c>
      <c r="B1875" s="24" t="s">
        <v>20</v>
      </c>
      <c r="C1875" s="24" t="s">
        <v>21</v>
      </c>
      <c r="D1875" s="24" t="s">
        <v>22</v>
      </c>
      <c r="E1875" s="24" t="s">
        <v>23</v>
      </c>
      <c r="F1875" s="24" t="s">
        <v>24</v>
      </c>
    </row>
    <row r="1876" spans="1:10" ht="14.1" customHeight="1" thickBot="1" x14ac:dyDescent="0.3">
      <c r="A1876" s="26" t="s">
        <v>340</v>
      </c>
      <c r="B1876" s="26" t="s">
        <v>340</v>
      </c>
      <c r="C1876" s="26" t="s">
        <v>64</v>
      </c>
      <c r="D1876" s="26" t="s">
        <v>53</v>
      </c>
      <c r="E1876" s="26" t="s">
        <v>54</v>
      </c>
      <c r="F1876" s="26"/>
    </row>
    <row r="1877" spans="1:10" ht="14.1" customHeight="1" thickBot="1" x14ac:dyDescent="0.3">
      <c r="A1877" s="43" t="s">
        <v>30</v>
      </c>
      <c r="B1877" s="27" t="s">
        <v>31</v>
      </c>
      <c r="C1877" s="28">
        <v>44743</v>
      </c>
      <c r="D1877" s="43" t="s">
        <v>32</v>
      </c>
      <c r="E1877" s="29" t="s">
        <v>33</v>
      </c>
      <c r="F1877" s="30" t="s">
        <v>34</v>
      </c>
    </row>
    <row r="1878" spans="1:10" ht="14.1" customHeight="1" thickBot="1" x14ac:dyDescent="0.3">
      <c r="A1878" s="44"/>
      <c r="B1878" s="27" t="s">
        <v>35</v>
      </c>
      <c r="C1878" s="31">
        <f>IF(C1877="","",IF(AND(MONTH(C1877)&gt;=1,MONTH(C1877)&lt;=3),1,IF(AND(MONTH(C1877)&gt;=4,MONTH(C1877)&lt;=6),2,IF(AND(MONTH(C1877)&gt;=7,MONTH(C1877)&lt;=9),3,4))))</f>
        <v>3</v>
      </c>
      <c r="D1878" s="44"/>
      <c r="E1878" s="29" t="s">
        <v>36</v>
      </c>
      <c r="F1878" s="30"/>
    </row>
    <row r="1879" spans="1:10" ht="14.1" customHeight="1" thickBot="1" x14ac:dyDescent="0.3">
      <c r="A1879" s="44"/>
      <c r="B1879" s="27" t="s">
        <v>37</v>
      </c>
      <c r="C1879" s="28">
        <v>44834</v>
      </c>
      <c r="D1879" s="44"/>
      <c r="E1879" s="29" t="s">
        <v>38</v>
      </c>
      <c r="F1879" s="30"/>
    </row>
    <row r="1880" spans="1:10" ht="14.1" customHeight="1" thickBot="1" x14ac:dyDescent="0.3">
      <c r="A1880" s="44"/>
      <c r="B1880" s="27" t="s">
        <v>35</v>
      </c>
      <c r="C1880" s="31">
        <f>IF(C1879="","",IF(AND(MONTH(C1879)&gt;=1,MONTH(C1879)&lt;=3),1,IF(AND(MONTH(C1879)&gt;=4,MONTH(C1879)&lt;=6),2,IF(AND(MONTH(C1879)&gt;=7,MONTH(C1879)&lt;=9),3,4))))</f>
        <v>3</v>
      </c>
      <c r="D1880" s="44"/>
      <c r="E1880" s="29" t="s">
        <v>39</v>
      </c>
      <c r="F1880" s="30"/>
    </row>
    <row r="1881" spans="1:10" ht="14.1" customHeight="1" x14ac:dyDescent="0.25"/>
    <row r="1882" spans="1:10" ht="14.1" customHeight="1" thickBot="1" x14ac:dyDescent="0.3">
      <c r="A1882" s="32" t="s">
        <v>40</v>
      </c>
      <c r="B1882" s="32" t="s">
        <v>41</v>
      </c>
      <c r="C1882" s="32" t="s">
        <v>42</v>
      </c>
      <c r="D1882" s="32" t="s">
        <v>43</v>
      </c>
      <c r="E1882" s="32" t="s">
        <v>44</v>
      </c>
      <c r="F1882" s="32" t="s">
        <v>45</v>
      </c>
    </row>
    <row r="1883" spans="1:10" ht="14.1" customHeight="1" x14ac:dyDescent="0.25">
      <c r="A1883" s="33" t="s">
        <v>341</v>
      </c>
      <c r="B1883" s="34" t="str">
        <f ca="1">IFERROR(INDEX(UNSPSCDes,MATCH(INDIRECT(ADDRESS(ROW(),COLUMN()-1,4)),UNSPSCCode,0)),IF(INDIRECT(ADDRESS(ROW(),COLUMN()-1,4))="82121903","Encuadernación con pegante",""))</f>
        <v>Encuadernación con pegante</v>
      </c>
      <c r="C1883" s="35" t="str">
        <f>IFERROR(VLOOKUP("UD",'[1]Informacion '!P:Q,2,FALSE),"")</f>
        <v>Unidad</v>
      </c>
      <c r="D1883" s="33">
        <v>1</v>
      </c>
      <c r="E1883" s="36">
        <v>30000</v>
      </c>
      <c r="F1883" s="37">
        <f ca="1">INDIRECT(ADDRESS(ROW(),COLUMN()-2,4))*INDIRECT(ADDRESS(ROW(),COLUMN()-1,4))</f>
        <v>30000</v>
      </c>
    </row>
    <row r="1884" spans="1:10" ht="14.1" customHeight="1" x14ac:dyDescent="0.25">
      <c r="E1884" s="38" t="s">
        <v>48</v>
      </c>
      <c r="F1884" s="39">
        <f ca="1">SUM(Table111[MONTO TOTAL ESTIMADO])</f>
        <v>30000</v>
      </c>
      <c r="H1884" s="25" t="str">
        <f>C1876</f>
        <v>Servicios</v>
      </c>
      <c r="I1884" s="25" t="str">
        <f>E1876</f>
        <v>Sí</v>
      </c>
      <c r="J1884" s="25" t="str">
        <f>D1876</f>
        <v>Compras por debajo del Umbral</v>
      </c>
    </row>
    <row r="1885" spans="1:10" ht="14.1" customHeight="1" x14ac:dyDescent="0.25"/>
    <row r="1886" spans="1:10" ht="34.15" customHeight="1" thickBot="1" x14ac:dyDescent="0.3">
      <c r="A1886" s="24" t="s">
        <v>19</v>
      </c>
      <c r="B1886" s="24" t="s">
        <v>20</v>
      </c>
      <c r="C1886" s="24" t="s">
        <v>21</v>
      </c>
      <c r="D1886" s="24" t="s">
        <v>22</v>
      </c>
      <c r="E1886" s="24" t="s">
        <v>23</v>
      </c>
      <c r="F1886" s="24" t="s">
        <v>24</v>
      </c>
    </row>
    <row r="1887" spans="1:10" ht="14.1" customHeight="1" thickBot="1" x14ac:dyDescent="0.3">
      <c r="A1887" s="26" t="s">
        <v>340</v>
      </c>
      <c r="B1887" s="26" t="s">
        <v>340</v>
      </c>
      <c r="C1887" s="26" t="s">
        <v>64</v>
      </c>
      <c r="D1887" s="26" t="s">
        <v>53</v>
      </c>
      <c r="E1887" s="26" t="s">
        <v>54</v>
      </c>
      <c r="F1887" s="26"/>
    </row>
    <row r="1888" spans="1:10" ht="14.1" customHeight="1" thickBot="1" x14ac:dyDescent="0.3">
      <c r="A1888" s="43" t="s">
        <v>30</v>
      </c>
      <c r="B1888" s="27" t="s">
        <v>31</v>
      </c>
      <c r="C1888" s="28">
        <v>44835</v>
      </c>
      <c r="D1888" s="43" t="s">
        <v>32</v>
      </c>
      <c r="E1888" s="29" t="s">
        <v>33</v>
      </c>
      <c r="F1888" s="30" t="s">
        <v>34</v>
      </c>
    </row>
    <row r="1889" spans="1:10" ht="14.1" customHeight="1" thickBot="1" x14ac:dyDescent="0.3">
      <c r="A1889" s="44"/>
      <c r="B1889" s="27" t="s">
        <v>35</v>
      </c>
      <c r="C1889" s="31">
        <f>IF(C1888="","",IF(AND(MONTH(C1888)&gt;=1,MONTH(C1888)&lt;=3),1,IF(AND(MONTH(C1888)&gt;=4,MONTH(C1888)&lt;=6),2,IF(AND(MONTH(C1888)&gt;=7,MONTH(C1888)&lt;=9),3,4))))</f>
        <v>4</v>
      </c>
      <c r="D1889" s="44"/>
      <c r="E1889" s="29" t="s">
        <v>36</v>
      </c>
      <c r="F1889" s="30"/>
    </row>
    <row r="1890" spans="1:10" ht="14.1" customHeight="1" thickBot="1" x14ac:dyDescent="0.3">
      <c r="A1890" s="44"/>
      <c r="B1890" s="27" t="s">
        <v>37</v>
      </c>
      <c r="C1890" s="28">
        <v>44926</v>
      </c>
      <c r="D1890" s="44"/>
      <c r="E1890" s="29" t="s">
        <v>38</v>
      </c>
      <c r="F1890" s="30"/>
    </row>
    <row r="1891" spans="1:10" ht="14.1" customHeight="1" thickBot="1" x14ac:dyDescent="0.3">
      <c r="A1891" s="44"/>
      <c r="B1891" s="27" t="s">
        <v>35</v>
      </c>
      <c r="C1891" s="31">
        <f>IF(C1890="","",IF(AND(MONTH(C1890)&gt;=1,MONTH(C1890)&lt;=3),1,IF(AND(MONTH(C1890)&gt;=4,MONTH(C1890)&lt;=6),2,IF(AND(MONTH(C1890)&gt;=7,MONTH(C1890)&lt;=9),3,4))))</f>
        <v>4</v>
      </c>
      <c r="D1891" s="44"/>
      <c r="E1891" s="29" t="s">
        <v>39</v>
      </c>
      <c r="F1891" s="30"/>
    </row>
    <row r="1892" spans="1:10" ht="14.1" customHeight="1" x14ac:dyDescent="0.25"/>
    <row r="1893" spans="1:10" ht="14.1" customHeight="1" thickBot="1" x14ac:dyDescent="0.3">
      <c r="A1893" s="32" t="s">
        <v>40</v>
      </c>
      <c r="B1893" s="32" t="s">
        <v>41</v>
      </c>
      <c r="C1893" s="32" t="s">
        <v>42</v>
      </c>
      <c r="D1893" s="32" t="s">
        <v>43</v>
      </c>
      <c r="E1893" s="32" t="s">
        <v>44</v>
      </c>
      <c r="F1893" s="32" t="s">
        <v>45</v>
      </c>
    </row>
    <row r="1894" spans="1:10" ht="14.1" customHeight="1" x14ac:dyDescent="0.25">
      <c r="A1894" s="33" t="s">
        <v>341</v>
      </c>
      <c r="B1894" s="34" t="str">
        <f ca="1">IFERROR(INDEX(UNSPSCDes,MATCH(INDIRECT(ADDRESS(ROW(),COLUMN()-1,4)),UNSPSCCode,0)),IF(INDIRECT(ADDRESS(ROW(),COLUMN()-1,4))="82121903","Encuadernación con pegante",""))</f>
        <v>Encuadernación con pegante</v>
      </c>
      <c r="C1894" s="35" t="str">
        <f>IFERROR(VLOOKUP("UD",'[1]Informacion '!P:Q,2,FALSE),"")</f>
        <v>Unidad</v>
      </c>
      <c r="D1894" s="33">
        <v>1</v>
      </c>
      <c r="E1894" s="36">
        <v>30000</v>
      </c>
      <c r="F1894" s="37">
        <f ca="1">INDIRECT(ADDRESS(ROW(),COLUMN()-2,4))*INDIRECT(ADDRESS(ROW(),COLUMN()-1,4))</f>
        <v>30000</v>
      </c>
    </row>
    <row r="1895" spans="1:10" ht="14.1" customHeight="1" x14ac:dyDescent="0.25">
      <c r="E1895" s="38" t="s">
        <v>48</v>
      </c>
      <c r="F1895" s="39">
        <f ca="1">SUM(Table112[MONTO TOTAL ESTIMADO])</f>
        <v>30000</v>
      </c>
      <c r="H1895" s="25" t="str">
        <f>C1887</f>
        <v>Servicios</v>
      </c>
      <c r="I1895" s="25" t="str">
        <f>E1887</f>
        <v>Sí</v>
      </c>
      <c r="J1895" s="25" t="str">
        <f>D1887</f>
        <v>Compras por debajo del Umbral</v>
      </c>
    </row>
    <row r="1896" spans="1:10" ht="14.1" customHeight="1" x14ac:dyDescent="0.25"/>
    <row r="1897" spans="1:10" ht="34.15" customHeight="1" thickBot="1" x14ac:dyDescent="0.3">
      <c r="A1897" s="24" t="s">
        <v>19</v>
      </c>
      <c r="B1897" s="24" t="s">
        <v>20</v>
      </c>
      <c r="C1897" s="24" t="s">
        <v>21</v>
      </c>
      <c r="D1897" s="24" t="s">
        <v>22</v>
      </c>
      <c r="E1897" s="24" t="s">
        <v>23</v>
      </c>
      <c r="F1897" s="24" t="s">
        <v>24</v>
      </c>
    </row>
    <row r="1898" spans="1:10" ht="14.1" customHeight="1" thickBot="1" x14ac:dyDescent="0.3">
      <c r="A1898" s="26" t="s">
        <v>342</v>
      </c>
      <c r="B1898" s="26" t="s">
        <v>343</v>
      </c>
      <c r="C1898" s="26" t="s">
        <v>64</v>
      </c>
      <c r="D1898" s="26" t="s">
        <v>78</v>
      </c>
      <c r="E1898" s="26" t="s">
        <v>54</v>
      </c>
      <c r="F1898" s="26"/>
    </row>
    <row r="1899" spans="1:10" ht="14.1" customHeight="1" thickBot="1" x14ac:dyDescent="0.3">
      <c r="A1899" s="43" t="s">
        <v>30</v>
      </c>
      <c r="B1899" s="27" t="s">
        <v>31</v>
      </c>
      <c r="C1899" s="28">
        <v>44576</v>
      </c>
      <c r="D1899" s="43" t="s">
        <v>32</v>
      </c>
      <c r="E1899" s="29" t="s">
        <v>33</v>
      </c>
      <c r="F1899" s="30" t="s">
        <v>34</v>
      </c>
    </row>
    <row r="1900" spans="1:10" ht="14.1" customHeight="1" thickBot="1" x14ac:dyDescent="0.3">
      <c r="A1900" s="44"/>
      <c r="B1900" s="27" t="s">
        <v>35</v>
      </c>
      <c r="C1900" s="31">
        <f>IF(C1899="","",IF(AND(MONTH(C1899)&gt;=1,MONTH(C1899)&lt;=3),1,IF(AND(MONTH(C1899)&gt;=4,MONTH(C1899)&lt;=6),2,IF(AND(MONTH(C1899)&gt;=7,MONTH(C1899)&lt;=9),3,4))))</f>
        <v>1</v>
      </c>
      <c r="D1900" s="44"/>
      <c r="E1900" s="29" t="s">
        <v>36</v>
      </c>
      <c r="F1900" s="30"/>
    </row>
    <row r="1901" spans="1:10" ht="14.1" customHeight="1" thickBot="1" x14ac:dyDescent="0.3">
      <c r="A1901" s="44"/>
      <c r="B1901" s="27" t="s">
        <v>37</v>
      </c>
      <c r="C1901" s="28">
        <v>44651</v>
      </c>
      <c r="D1901" s="44"/>
      <c r="E1901" s="29" t="s">
        <v>38</v>
      </c>
      <c r="F1901" s="30"/>
    </row>
    <row r="1902" spans="1:10" ht="14.1" customHeight="1" thickBot="1" x14ac:dyDescent="0.3">
      <c r="A1902" s="44"/>
      <c r="B1902" s="27" t="s">
        <v>35</v>
      </c>
      <c r="C1902" s="31">
        <f>IF(C1901="","",IF(AND(MONTH(C1901)&gt;=1,MONTH(C1901)&lt;=3),1,IF(AND(MONTH(C1901)&gt;=4,MONTH(C1901)&lt;=6),2,IF(AND(MONTH(C1901)&gt;=7,MONTH(C1901)&lt;=9),3,4))))</f>
        <v>1</v>
      </c>
      <c r="D1902" s="44"/>
      <c r="E1902" s="29" t="s">
        <v>39</v>
      </c>
      <c r="F1902" s="30"/>
    </row>
    <row r="1903" spans="1:10" ht="14.1" customHeight="1" x14ac:dyDescent="0.25"/>
    <row r="1904" spans="1:10" ht="14.1" customHeight="1" thickBot="1" x14ac:dyDescent="0.3">
      <c r="A1904" s="32" t="s">
        <v>40</v>
      </c>
      <c r="B1904" s="32" t="s">
        <v>41</v>
      </c>
      <c r="C1904" s="32" t="s">
        <v>42</v>
      </c>
      <c r="D1904" s="32" t="s">
        <v>43</v>
      </c>
      <c r="E1904" s="32" t="s">
        <v>44</v>
      </c>
      <c r="F1904" s="32" t="s">
        <v>45</v>
      </c>
    </row>
    <row r="1905" spans="1:10" ht="14.1" customHeight="1" x14ac:dyDescent="0.25">
      <c r="A1905" s="33" t="s">
        <v>344</v>
      </c>
      <c r="B1905" s="34" t="str">
        <f ca="1">IFERROR(INDEX(UNSPSCDes,MATCH(INDIRECT(ADDRESS(ROW(),COLUMN()-1,4)),UNSPSCCode,0)),IF(INDIRECT(ADDRESS(ROW(),COLUMN()-1,4))="24101601","Ascensores",""))</f>
        <v>Ascensores</v>
      </c>
      <c r="C1905" s="35" t="str">
        <f>IFERROR(VLOOKUP("UD",'[1]Informacion '!P:Q,2,FALSE),"")</f>
        <v>Unidad</v>
      </c>
      <c r="D1905" s="33">
        <v>1</v>
      </c>
      <c r="E1905" s="36">
        <v>4500000</v>
      </c>
      <c r="F1905" s="37">
        <f ca="1">INDIRECT(ADDRESS(ROW(),COLUMN()-2,4))*INDIRECT(ADDRESS(ROW(),COLUMN()-1,4))</f>
        <v>4500000</v>
      </c>
    </row>
    <row r="1906" spans="1:10" ht="14.1" customHeight="1" x14ac:dyDescent="0.25">
      <c r="E1906" s="38" t="s">
        <v>48</v>
      </c>
      <c r="F1906" s="39">
        <f ca="1">SUM(Table113[MONTO TOTAL ESTIMADO])</f>
        <v>4500000</v>
      </c>
      <c r="H1906" s="25" t="str">
        <f>C1898</f>
        <v>Servicios</v>
      </c>
      <c r="I1906" s="25" t="str">
        <f>E1898</f>
        <v>Sí</v>
      </c>
      <c r="J1906" s="25" t="str">
        <f>D1898</f>
        <v>Comparacion de Precios</v>
      </c>
    </row>
    <row r="1907" spans="1:10" ht="14.1" customHeight="1" x14ac:dyDescent="0.25"/>
    <row r="1908" spans="1:10" ht="34.15" customHeight="1" thickBot="1" x14ac:dyDescent="0.3">
      <c r="A1908" s="24" t="s">
        <v>19</v>
      </c>
      <c r="B1908" s="24" t="s">
        <v>20</v>
      </c>
      <c r="C1908" s="24" t="s">
        <v>21</v>
      </c>
      <c r="D1908" s="24" t="s">
        <v>22</v>
      </c>
      <c r="E1908" s="24" t="s">
        <v>23</v>
      </c>
      <c r="F1908" s="24" t="s">
        <v>24</v>
      </c>
    </row>
    <row r="1909" spans="1:10" ht="14.1" customHeight="1" thickBot="1" x14ac:dyDescent="0.3">
      <c r="A1909" s="26" t="s">
        <v>345</v>
      </c>
      <c r="B1909" s="26" t="s">
        <v>346</v>
      </c>
      <c r="C1909" s="26" t="s">
        <v>64</v>
      </c>
      <c r="D1909" s="26" t="s">
        <v>28</v>
      </c>
      <c r="E1909" s="26" t="s">
        <v>54</v>
      </c>
      <c r="F1909" s="26"/>
    </row>
    <row r="1910" spans="1:10" ht="14.1" customHeight="1" thickBot="1" x14ac:dyDescent="0.3">
      <c r="A1910" s="43" t="s">
        <v>30</v>
      </c>
      <c r="B1910" s="27" t="s">
        <v>31</v>
      </c>
      <c r="C1910" s="28">
        <v>44576</v>
      </c>
      <c r="D1910" s="43" t="s">
        <v>32</v>
      </c>
      <c r="E1910" s="29" t="s">
        <v>33</v>
      </c>
      <c r="F1910" s="30" t="s">
        <v>34</v>
      </c>
    </row>
    <row r="1911" spans="1:10" ht="14.1" customHeight="1" thickBot="1" x14ac:dyDescent="0.3">
      <c r="A1911" s="44"/>
      <c r="B1911" s="27" t="s">
        <v>35</v>
      </c>
      <c r="C1911" s="31">
        <f>IF(C1910="","",IF(AND(MONTH(C1910)&gt;=1,MONTH(C1910)&lt;=3),1,IF(AND(MONTH(C1910)&gt;=4,MONTH(C1910)&lt;=6),2,IF(AND(MONTH(C1910)&gt;=7,MONTH(C1910)&lt;=9),3,4))))</f>
        <v>1</v>
      </c>
      <c r="D1911" s="44"/>
      <c r="E1911" s="29" t="s">
        <v>36</v>
      </c>
      <c r="F1911" s="30"/>
    </row>
    <row r="1912" spans="1:10" ht="14.1" customHeight="1" thickBot="1" x14ac:dyDescent="0.3">
      <c r="A1912" s="44"/>
      <c r="B1912" s="27" t="s">
        <v>37</v>
      </c>
      <c r="C1912" s="28">
        <v>44651</v>
      </c>
      <c r="D1912" s="44"/>
      <c r="E1912" s="29" t="s">
        <v>38</v>
      </c>
      <c r="F1912" s="30"/>
    </row>
    <row r="1913" spans="1:10" ht="14.1" customHeight="1" thickBot="1" x14ac:dyDescent="0.3">
      <c r="A1913" s="44"/>
      <c r="B1913" s="27" t="s">
        <v>35</v>
      </c>
      <c r="C1913" s="31">
        <f>IF(C1912="","",IF(AND(MONTH(C1912)&gt;=1,MONTH(C1912)&lt;=3),1,IF(AND(MONTH(C1912)&gt;=4,MONTH(C1912)&lt;=6),2,IF(AND(MONTH(C1912)&gt;=7,MONTH(C1912)&lt;=9),3,4))))</f>
        <v>1</v>
      </c>
      <c r="D1913" s="44"/>
      <c r="E1913" s="29" t="s">
        <v>39</v>
      </c>
      <c r="F1913" s="30"/>
    </row>
    <row r="1914" spans="1:10" ht="14.1" customHeight="1" x14ac:dyDescent="0.25"/>
    <row r="1915" spans="1:10" ht="14.1" customHeight="1" thickBot="1" x14ac:dyDescent="0.3">
      <c r="A1915" s="32" t="s">
        <v>40</v>
      </c>
      <c r="B1915" s="32" t="s">
        <v>41</v>
      </c>
      <c r="C1915" s="32" t="s">
        <v>42</v>
      </c>
      <c r="D1915" s="32" t="s">
        <v>43</v>
      </c>
      <c r="E1915" s="32" t="s">
        <v>44</v>
      </c>
      <c r="F1915" s="32" t="s">
        <v>45</v>
      </c>
    </row>
    <row r="1916" spans="1:10" ht="14.1" customHeight="1" x14ac:dyDescent="0.25">
      <c r="A1916" s="33" t="s">
        <v>347</v>
      </c>
      <c r="B1916" s="34" t="str">
        <f ca="1">IFERROR(INDEX(UNSPSCDes,MATCH(INDIRECT(ADDRESS(ROW(),COLUMN()-1,4)),UNSPSCCode,0)),IF(INDIRECT(ADDRESS(ROW(),COLUMN()-1,4))="72102802","Restauración de edificios, mojones o monumentos",""))</f>
        <v>Restauración de edificios, mojones o monumentos</v>
      </c>
      <c r="C1916" s="35" t="str">
        <f>IFERROR(VLOOKUP("UD",'[1]Informacion '!P:Q,2,FALSE),"")</f>
        <v>Unidad</v>
      </c>
      <c r="D1916" s="33">
        <v>1</v>
      </c>
      <c r="E1916" s="36">
        <v>500000</v>
      </c>
      <c r="F1916" s="37">
        <f ca="1">INDIRECT(ADDRESS(ROW(),COLUMN()-2,4))*INDIRECT(ADDRESS(ROW(),COLUMN()-1,4))</f>
        <v>500000</v>
      </c>
    </row>
    <row r="1917" spans="1:10" ht="14.1" customHeight="1" x14ac:dyDescent="0.25">
      <c r="E1917" s="38" t="s">
        <v>48</v>
      </c>
      <c r="F1917" s="39">
        <f ca="1">SUM(Table114[MONTO TOTAL ESTIMADO])</f>
        <v>500000</v>
      </c>
      <c r="H1917" s="25" t="str">
        <f>C1909</f>
        <v>Servicios</v>
      </c>
      <c r="I1917" s="25" t="str">
        <f>E1909</f>
        <v>Sí</v>
      </c>
      <c r="J1917" s="25" t="str">
        <f>D1909</f>
        <v>Compras Menores</v>
      </c>
    </row>
    <row r="1918" spans="1:10" s="40" customFormat="1" ht="14.1" customHeight="1" x14ac:dyDescent="0.25"/>
    <row r="1919" spans="1:10" s="40" customFormat="1" ht="14.1" customHeight="1" x14ac:dyDescent="0.25"/>
    <row r="1920" spans="1:10" s="40" customFormat="1" ht="14.1" customHeight="1" x14ac:dyDescent="0.25"/>
    <row r="1921" s="40" customFormat="1" ht="14.1" customHeight="1" x14ac:dyDescent="0.25"/>
    <row r="1922" s="40" customFormat="1" ht="14.1" customHeight="1" x14ac:dyDescent="0.25"/>
  </sheetData>
  <protectedRanges>
    <protectedRange sqref="F5:G5" name="Rango3"/>
    <protectedRange sqref="E11:E12" name="Rango2"/>
  </protectedRanges>
  <mergeCells count="232">
    <mergeCell ref="A1:A4"/>
    <mergeCell ref="B2:E2"/>
    <mergeCell ref="B3:E3"/>
    <mergeCell ref="E6:F6"/>
    <mergeCell ref="E7:F7"/>
    <mergeCell ref="E8:F8"/>
    <mergeCell ref="A29:A32"/>
    <mergeCell ref="D29:D32"/>
    <mergeCell ref="A41:A44"/>
    <mergeCell ref="D41:D44"/>
    <mergeCell ref="A53:A56"/>
    <mergeCell ref="D53:D56"/>
    <mergeCell ref="E9:F9"/>
    <mergeCell ref="E10:F10"/>
    <mergeCell ref="E11:F11"/>
    <mergeCell ref="E12:F12"/>
    <mergeCell ref="A17:A20"/>
    <mergeCell ref="D17:D20"/>
    <mergeCell ref="A107:A110"/>
    <mergeCell ref="D107:D110"/>
    <mergeCell ref="A118:A121"/>
    <mergeCell ref="D118:D121"/>
    <mergeCell ref="A129:A132"/>
    <mergeCell ref="D129:D132"/>
    <mergeCell ref="A65:A68"/>
    <mergeCell ref="D65:D68"/>
    <mergeCell ref="A77:A80"/>
    <mergeCell ref="D77:D80"/>
    <mergeCell ref="A96:A99"/>
    <mergeCell ref="D96:D99"/>
    <mergeCell ref="A177:A180"/>
    <mergeCell ref="D177:D180"/>
    <mergeCell ref="A188:A191"/>
    <mergeCell ref="D188:D191"/>
    <mergeCell ref="A199:A202"/>
    <mergeCell ref="D199:D202"/>
    <mergeCell ref="A141:A144"/>
    <mergeCell ref="D141:D144"/>
    <mergeCell ref="A153:A156"/>
    <mergeCell ref="D153:D156"/>
    <mergeCell ref="A165:A168"/>
    <mergeCell ref="D165:D168"/>
    <mergeCell ref="A253:A256"/>
    <mergeCell ref="D253:D256"/>
    <mergeCell ref="A273:A276"/>
    <mergeCell ref="D273:D276"/>
    <mergeCell ref="A296:A299"/>
    <mergeCell ref="D296:D299"/>
    <mergeCell ref="A210:A213"/>
    <mergeCell ref="D210:D213"/>
    <mergeCell ref="A221:A224"/>
    <mergeCell ref="D221:D224"/>
    <mergeCell ref="A232:A235"/>
    <mergeCell ref="D232:D235"/>
    <mergeCell ref="A343:A346"/>
    <mergeCell ref="D343:D346"/>
    <mergeCell ref="A354:A357"/>
    <mergeCell ref="D354:D357"/>
    <mergeCell ref="A365:A368"/>
    <mergeCell ref="D365:D368"/>
    <mergeCell ref="A309:A312"/>
    <mergeCell ref="D309:D312"/>
    <mergeCell ref="A321:A324"/>
    <mergeCell ref="D321:D324"/>
    <mergeCell ref="A332:A335"/>
    <mergeCell ref="D332:D335"/>
    <mergeCell ref="A433:A436"/>
    <mergeCell ref="D433:D436"/>
    <mergeCell ref="A452:A455"/>
    <mergeCell ref="D452:D455"/>
    <mergeCell ref="A465:A468"/>
    <mergeCell ref="D465:D468"/>
    <mergeCell ref="A376:A379"/>
    <mergeCell ref="D376:D379"/>
    <mergeCell ref="A395:A398"/>
    <mergeCell ref="D395:D398"/>
    <mergeCell ref="A414:A417"/>
    <mergeCell ref="D414:D417"/>
    <mergeCell ref="A513:A516"/>
    <mergeCell ref="D513:D516"/>
    <mergeCell ref="A526:A529"/>
    <mergeCell ref="D526:D529"/>
    <mergeCell ref="A537:A540"/>
    <mergeCell ref="D537:D540"/>
    <mergeCell ref="A476:A479"/>
    <mergeCell ref="D476:D479"/>
    <mergeCell ref="A488:A491"/>
    <mergeCell ref="D488:D491"/>
    <mergeCell ref="A499:A502"/>
    <mergeCell ref="D499:D502"/>
    <mergeCell ref="A590:A593"/>
    <mergeCell ref="D590:D593"/>
    <mergeCell ref="A601:A604"/>
    <mergeCell ref="D601:D604"/>
    <mergeCell ref="A632:A635"/>
    <mergeCell ref="D632:D635"/>
    <mergeCell ref="A553:A556"/>
    <mergeCell ref="D553:D556"/>
    <mergeCell ref="A566:A569"/>
    <mergeCell ref="D566:D569"/>
    <mergeCell ref="A578:A581"/>
    <mergeCell ref="D578:D581"/>
    <mergeCell ref="A704:A707"/>
    <mergeCell ref="D704:D707"/>
    <mergeCell ref="A722:A725"/>
    <mergeCell ref="D722:D725"/>
    <mergeCell ref="A734:A737"/>
    <mergeCell ref="D734:D737"/>
    <mergeCell ref="A651:A654"/>
    <mergeCell ref="D651:D654"/>
    <mergeCell ref="A671:A674"/>
    <mergeCell ref="D671:D674"/>
    <mergeCell ref="A686:A689"/>
    <mergeCell ref="D686:D689"/>
    <mergeCell ref="A1045:A1048"/>
    <mergeCell ref="D1045:D1048"/>
    <mergeCell ref="A1083:A1086"/>
    <mergeCell ref="D1083:D1086"/>
    <mergeCell ref="A1121:A1124"/>
    <mergeCell ref="D1121:D1124"/>
    <mergeCell ref="A815:A818"/>
    <mergeCell ref="D815:D818"/>
    <mergeCell ref="A890:A893"/>
    <mergeCell ref="D890:D893"/>
    <mergeCell ref="A968:A971"/>
    <mergeCell ref="D968:D971"/>
    <mergeCell ref="A1239:A1242"/>
    <mergeCell ref="D1239:D1242"/>
    <mergeCell ref="A1260:A1263"/>
    <mergeCell ref="D1260:D1263"/>
    <mergeCell ref="A1281:A1284"/>
    <mergeCell ref="D1281:D1284"/>
    <mergeCell ref="A1159:A1162"/>
    <mergeCell ref="D1159:D1162"/>
    <mergeCell ref="A1197:A1200"/>
    <mergeCell ref="D1197:D1200"/>
    <mergeCell ref="A1218:A1221"/>
    <mergeCell ref="D1218:D1221"/>
    <mergeCell ref="A1333:A1336"/>
    <mergeCell ref="D1333:D1336"/>
    <mergeCell ref="A1344:A1347"/>
    <mergeCell ref="D1344:D1347"/>
    <mergeCell ref="A1355:A1358"/>
    <mergeCell ref="D1355:D1358"/>
    <mergeCell ref="A1299:A1302"/>
    <mergeCell ref="D1299:D1302"/>
    <mergeCell ref="A1310:A1313"/>
    <mergeCell ref="D1310:D1313"/>
    <mergeCell ref="A1322:A1325"/>
    <mergeCell ref="D1322:D1325"/>
    <mergeCell ref="A1400:A1403"/>
    <mergeCell ref="D1400:D1403"/>
    <mergeCell ref="A1413:A1416"/>
    <mergeCell ref="D1413:D1416"/>
    <mergeCell ref="A1428:A1431"/>
    <mergeCell ref="D1428:D1431"/>
    <mergeCell ref="A1366:A1369"/>
    <mergeCell ref="D1366:D1369"/>
    <mergeCell ref="A1377:A1380"/>
    <mergeCell ref="D1377:D1380"/>
    <mergeCell ref="A1389:A1392"/>
    <mergeCell ref="D1389:D1392"/>
    <mergeCell ref="A1484:A1487"/>
    <mergeCell ref="D1484:D1487"/>
    <mergeCell ref="A1496:A1499"/>
    <mergeCell ref="D1496:D1499"/>
    <mergeCell ref="A1508:A1511"/>
    <mergeCell ref="D1508:D1511"/>
    <mergeCell ref="A1443:A1446"/>
    <mergeCell ref="D1443:D1446"/>
    <mergeCell ref="A1458:A1461"/>
    <mergeCell ref="D1458:D1461"/>
    <mergeCell ref="A1473:A1476"/>
    <mergeCell ref="D1473:D1476"/>
    <mergeCell ref="A1572:A1575"/>
    <mergeCell ref="D1572:D1575"/>
    <mergeCell ref="A1588:A1591"/>
    <mergeCell ref="D1588:D1591"/>
    <mergeCell ref="A1605:A1608"/>
    <mergeCell ref="D1605:D1608"/>
    <mergeCell ref="A1522:A1525"/>
    <mergeCell ref="D1522:D1525"/>
    <mergeCell ref="A1536:A1539"/>
    <mergeCell ref="D1536:D1539"/>
    <mergeCell ref="A1554:A1557"/>
    <mergeCell ref="D1554:D1557"/>
    <mergeCell ref="A1649:A1652"/>
    <mergeCell ref="D1649:D1652"/>
    <mergeCell ref="A1660:A1663"/>
    <mergeCell ref="D1660:D1663"/>
    <mergeCell ref="A1675:A1678"/>
    <mergeCell ref="D1675:D1678"/>
    <mergeCell ref="A1616:A1619"/>
    <mergeCell ref="D1616:D1619"/>
    <mergeCell ref="A1627:A1630"/>
    <mergeCell ref="D1627:D1630"/>
    <mergeCell ref="A1638:A1641"/>
    <mergeCell ref="D1638:D1641"/>
    <mergeCell ref="A1724:A1727"/>
    <mergeCell ref="D1724:D1727"/>
    <mergeCell ref="A1736:A1739"/>
    <mergeCell ref="D1736:D1739"/>
    <mergeCell ref="A1747:A1750"/>
    <mergeCell ref="D1747:D1750"/>
    <mergeCell ref="A1687:A1690"/>
    <mergeCell ref="D1687:D1690"/>
    <mergeCell ref="A1699:A1702"/>
    <mergeCell ref="D1699:D1702"/>
    <mergeCell ref="A1712:A1715"/>
    <mergeCell ref="D1712:D1715"/>
    <mergeCell ref="A1832:A1835"/>
    <mergeCell ref="D1832:D1835"/>
    <mergeCell ref="A1844:A1847"/>
    <mergeCell ref="D1844:D1847"/>
    <mergeCell ref="A1855:A1858"/>
    <mergeCell ref="D1855:D1858"/>
    <mergeCell ref="A1769:A1772"/>
    <mergeCell ref="D1769:D1772"/>
    <mergeCell ref="A1790:A1793"/>
    <mergeCell ref="D1790:D1793"/>
    <mergeCell ref="A1811:A1814"/>
    <mergeCell ref="D1811:D1814"/>
    <mergeCell ref="A1899:A1902"/>
    <mergeCell ref="D1899:D1902"/>
    <mergeCell ref="A1910:A1913"/>
    <mergeCell ref="D1910:D1913"/>
    <mergeCell ref="A1866:A1869"/>
    <mergeCell ref="D1866:D1869"/>
    <mergeCell ref="A1877:A1880"/>
    <mergeCell ref="D1877:D1880"/>
    <mergeCell ref="A1888:A1891"/>
    <mergeCell ref="D1888:D1891"/>
  </mergeCells>
  <dataValidations count="12">
    <dataValidation type="decimal" operator="greaterThan" allowBlank="1" showInputMessage="1" showErrorMessage="1" sqref="D1916:E1916 D1905:E1905 D1894:E1894 D1883:E1883 D1872:E1872 D1861:E1861 D1850:E1850 D1838:E1839 D1817:E1827 D1796:E1806 D1775:E1785 D1753:E1764 D1742:E1742 D1730:E1731 D1718:E1719 D1705:E1707 D1693:E1694 D1681:E1682 D1666:E1670 D1655:E1655 D1644:E1644 D1633:E1633 D1622:E1622 D1611:E1611 D1594:E1600 D1578:E1583 D1560:E1567 D1542:E1549 D1528:E1531 D1514:E1517 D1502:E1503 D1490:E1491 D1479:E1479 D1464:E1468 D1449:E1453 D1434:E1438 D1419:E1423 D1406:E1408 D1395:E1395 D1383:E1384 D1372:E1372 D1361:E1361 D1350:E1350 D1339:E1339 D1328:E1328 D1316:E1317 D1305:E1305 D1287:E1294 D1266:E1276 D1245:E1255 D1224:E1234 D1203:E1213 D1165:E1192 D1127:E1154 D1089:E1116 D1051:E1078 D974:E1040 D896:E963 D821:E885 D740:E810 D728:E729 D710:E717 D692:E699 D677:E681 D657:E666 D638:E646 D607:E627 D596:E596 D584:E585 D572:E573 D559:E561 D543:E548 D532:E532 D519:E521 D505:E508 D494:E494 D482:E483 D471:E471 D458:E460 D439:E447 D420:E428 D401:E409 D382:E390 D371:E371 D360:E360 D349:E349 D338:E338 D327:E327 D315:E316 D302:E304 D279:E291 D259:E268 D238:E248 D227:E227 D216:E216 D205:E205 D194:E194 D183:E183 D171:E172 D159:E160 D147:E148 D135:E136 D124:E124 D113:E113 D102:E102 D83:E91 D71:E72 D59:E60 D47:E48 D35:E36 D23:E24" xr:uid="{B996FC10-3C77-4357-B46F-6ECF7B9F3A57}">
      <formula1>0</formula1>
    </dataValidation>
    <dataValidation type="list" allowBlank="1" showInputMessage="1" showErrorMessage="1" sqref="C1916 C1905 C1894 C1883 C1872 C1861 C1850 C1838:C1839 C1817:C1827 C1796:C1806 C1775:C1785 C1753:C1764 C1742 C1730:C1731 C1718:C1719 C1705:C1707 C1693:C1694 C1681:C1682 C1666:C1670 C1655 C1644 C1633 C1622 C1611 C1594:C1600 C1578:C1583 C1560:C1567 C1542:C1549 C1528:C1531 C1514:C1517 C1502:C1503 C1490:C1491 C1479 C1464:C1468 C1449:C1453 C1434:C1438 C1419:C1423 C1406:C1408 C1395 C1383:C1384 C1372 C1361 C1350 C1339 C1328 C1316:C1317 C1305 C1287:C1294 C1266:C1276 C1245:C1255 C1224:C1234 C1203:C1213 C1165:C1192 C1127:C1154 C1089:C1116 C1051:C1078 C974:C1040 C896:C963 C821:C885 C740:C810 C728:C729 C710:C717 C692:C699 C677:C681 C657:C666 C638:C646 C607:C627 C596 C584:C585 C572:C573 C559:C561 C543:C548 C532 C519:C521 C505:C508 C494 C482:C483 C471 C458:C460 C439:C447 C420:C428 C401:C409 C382:C390 C371 C360 C349 C338 C327 C315:C316 C302:C304 C279:C291 C259:C268 C238:C248 C227 C216 C205 C194 C183 C171:C172 C159:C160 C147:C148 C135:C136 C124 C113 C102 C83:C91 C71:C72 C59:C60 C47:C48 C35:C36 C23:C24" xr:uid="{F3BD85D5-AA04-46F4-A067-6E0F3CA53B73}">
      <formula1>UnidadesList</formula1>
    </dataValidation>
    <dataValidation type="whole" operator="greaterThan" allowBlank="1" showInputMessage="1" showErrorMessage="1" sqref="A1916 A1905 A1894 A1883 A1872 A1861 A1850 A1838:A1839 A1817:A1827 A1796:A1806 A1775:A1785 A1753:A1764 A1742 A1730:A1731 A1718:A1719 A1705:A1707 A1693:A1694 A1681:A1682 A1666:A1670 A1655 A1644 A1633 A1622 A1611 A1594:A1600 A1578:A1583 A1560:A1567 A1542:A1549 A1528:A1531 A1514:A1517 A1502:A1503 A1490:A1491 A1479 A1464:A1468 A1449:A1453 A1434:A1438 A1419:A1423 A1406:A1408 A1395 A1383:A1384 A1372 A1361 A1350 A1339 A1328 A1316:A1317 A1305 A1287:A1294 A1266:A1276 A1245:A1255 A1224:A1234 A1203:A1213 A1165:A1192 A1127:A1154 A1089:A1116 A1051:A1078 A974:A1040 A896:A963 A821:A885 A740:A810 A728:A729 A710:A717 A692:A699 A677:A681 A657:A666 A638:A646 A607:A627 A596 A584:A585 A572:A573 A559:A561 A543:A548 A532 A519:A521 A505:A508 A494 A482:A483 A471 A458:A460 A439:A447 A420:A428 A401:A409 A382:A390 A371 A360 A349 A338 A327 A315:A316 A302:A304 A279:A291 A259:A268 A238:A248 A227 A216 A205 A194 A183 A171:A172 A159:A160 A147:A148 A135:A136 A124 A113 A102 A83:A91 A71:A72 A59:A60 A47:A48 A35:A36 A23:A24" xr:uid="{C0DFFA44-0433-46A0-8874-731FBA6A3D49}">
      <formula1>0</formula1>
    </dataValidation>
    <dataValidation type="list" allowBlank="1" showInputMessage="1" showErrorMessage="1" sqref="F20 F1913 F1902 F1891 F1880 F1869 F1858 F1847 F1835 F1814 F1793 F1772 F1750 F1739 F1727 F1715 F1702 F1690 F1678 F1663 F1652 F1641 F1630 F1619 F1608 F1591 F1575 F1557 F1539 F1525 F1511 F1499 F1487 F1476 F1461 F1446 F1431 F1416 F1403 F1392 F1380 F1369 F1358 F1347 F1336 F1325 F1313 F1302 F1284 F1263 F1242 F1221 F1200 F1162 F1124 F1086 F1048 F971 F893 F818 F737 F725 F707 F689 F674 F654 F635 F604 F593 F581 F569 F556 F540 F529 F516 F502 F491 F479 F468 F455 F436 F417 F398 F379 F368 F357 F346 F335 F324 F312 F299 F276 F256 F235 F224 F213 F202 F191 F180 F168 F156 F144 F132 F121 F110 F99 F80 F68 F56 F44 F32" xr:uid="{0E44AB27-36F8-4B7F-99F6-EF19910AB161}">
      <formula1>OFFSET(MunicipioStart,MATCH(INDIRECT(ADDRESS(ROW()-1,COLUMN(),4)),MunicipioColumn,0)-1,1,COUNTIF(MunicipioColumn,INDIRECT(ADDRESS(ROW()-1,COLUMN(),4))),1)</formula1>
    </dataValidation>
    <dataValidation type="list" allowBlank="1" showInputMessage="1" showErrorMessage="1" sqref="F19 F1912 F1901 F1890 F1879 F1868 F1857 F1846 F1834 F1813 F1792 F1771 F1749 F1738 F1726 F1714 F1701 F1689 F1677 F1662 F1651 F1640 F1629 F1618 F1607 F1590 F1574 F1556 F1538 F1524 F1510 F1498 F1486 F1475 F1460 F1445 F1430 F1415 F1402 F1391 F1379 F1368 F1357 F1346 F1335 F1324 F1312 F1301 F1283 F1262 F1241 F1220 F1199 F1161 F1123 F1085 F1047 F970 F892 F817 F736 F724 F706 F688 F673 F653 F634 F603 F592 F580 F568 F555 F539 F528 F515 F501 F490 F478 F467 F454 F435 F416 F397 F378 F367 F356 F345 F334 F323 F311 F298 F275 F255 F234 F223 F212 F201 F190 F179 F167 F155 F143 F131 F120 F109 F98 F79 F67 F55 F43 F31" xr:uid="{1A6ADDF9-F3D7-4FAD-A3D1-8F9DDAA98D0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911 F1900 F1889 F1878 F1867 F1856 F1845 F1833 F1812 F1791 F1770 F1748 F1737 F1725 F1713 F1700 F1688 F1676 F1661 F1650 F1639 F1628 F1617 F1606 F1589 F1573 F1555 F1537 F1523 F1509 F1497 F1485 F1474 F1459 F1444 F1429 F1414 F1401 F1390 F1378 F1367 F1356 F1345 F1334 F1323 F1311 F1300 F1282 F1261 F1240 F1219 F1198 F1160 F1122 F1084 F1046 F969 F891 F816 F735 F723 F705 F687 F672 F652 F633 F602 F591 F579 F567 F554 F538 F527 F514 F500 F489 F477 F466 F453 F434 F415 F396 F377 F366 F355 F344 F333 F322 F310 F297 F274 F254 F233 F222 F211 F200 F189 F178 F166 F154 F142 F130 F119 F108 F97 F78 F66 F54 F42 F30" xr:uid="{5F456DF7-181A-4800-9A98-EB61E5A9076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910 F1899 F1888 F1877 F1866 F1855 F1844 F1832 F1811 F1790 F1769 F1747 F1736 F1724 F1712 F1699 F1687 F1675 F1660 F1649 F1638 F1627 F1616 F1605 F1588 F1572 F1554 F1536 F1522 F1508 F1496 F1484 F1473 F1458 F1443 F1428 F1413 F1400 F1389 F1377 F1366 F1355 F1344 F1333 F1322 F1310 F1299 F1281 F1260 F1239 F1218 F1197 F1159 F1121 F1083 F1045 F968 F890 F815 F734 F722 F704 F686 F671 F651 F632 F601 F590 F578 F566 F553 F537 F526 F513 F499 F488 F476 F465 F452 F433 F414 F395 F376 F365 F354 F343 F332 F321 F309 F296 F273 F253 F232 F221 F210 F199 F188 F177 F165 F153 F141 F129 F118 F107 F96 F77 F65 F53 F41 F29" xr:uid="{2EB0E62E-01B9-4C97-9C52-B80CC56FE221}">
      <formula1>IF(INDIRECT(ADDRESS(ROW()+1,COLUMN(),4))="",RegionList,INDEX(RegionColumn,MATCH(INDIRECT(ADDRESS(ROW()+1,COLUMN(),4)),ProvinciaList,0)))</formula1>
    </dataValidation>
    <dataValidation type="date" operator="greaterThanOrEqual" allowBlank="1" showInputMessage="1" showErrorMessage="1" sqref="C19 C1912 C1901 C1890 C1879 C1868 C1857 C1846 C1834 C1813 C1792 C1771 C1749 C1738 C1726 C1714 C1701 C1689 C1677 C1662 C1651 C1640 C1629 C1618 C1607 C1590 C1574 C1556 C1538 C1524 C1510 C1498 C1486 C1475 C1460 C1445 C1430 C1415 C1402 C1391 C1379 C1368 C1357 C1346 C1335 C1324 C1312 C1301 C1283 C1262 C1241 C1220 C1199 C1161 C1123 C1085 C1047 C970 C892 C817 C736 C724 C706 C688 C673 C653 C634 C603 C592 C580 C568 C555 C539 C528 C515 C501 C490 C478 C467 C454 C435 C416 C397 C378 C367 C356 C345 C334 C323 C311 C298 C275 C255 C234 C223 C212 C201 C190 C179 C167 C155 C143 C131 C120 C109 C98 C79 C67 C55 C43 C31" xr:uid="{C5594B08-348A-4EAF-955E-730C7263358E}">
      <formula1>C17</formula1>
    </dataValidation>
    <dataValidation type="date" operator="lessThanOrEqual" allowBlank="1" showInputMessage="1" showErrorMessage="1" sqref="C17 C1910 C1899 C1888 C1877 C1866 C1855 C1844 C1832 C1811 C1790 C1769 C1747 C1736 C1724 C1712 C1699 C1687 C1675 C1660 C1649 C1638 C1627 C1616 C1605 C1588 C1572 C1554 C1536 C1522 C1508 C1496 C1484 C1473 C1458 C1443 C1428 C1413 C1400 C1389 C1377 C1366 C1355 C1344 C1333 C1322 C1310 C1299 C1281 C1260 C1239 C1218 C1197 C1159 C1121 C1083 C1045 C968 C890 C815 C734 C722 C704 C686 C671 C651 C632 C601 C590 C578 C566 C553 C537 C526 C513 C499 C488 C476 C465 C452 C433 C414 C395 C376 C365 C354 C343 C332 C321 C309 C296 C273 C253 C232 C221 C210 C199 C188 C177 C165 C153 C141 C129 C118 C107 C96 C77 C65 C53 C41 C29" xr:uid="{32673585-F6C7-4D7F-AFB4-2C9FEBF800D6}">
      <formula1>C19</formula1>
    </dataValidation>
    <dataValidation operator="greaterThan" allowBlank="1" showInputMessage="1" showErrorMessage="1" sqref="E10:F10" xr:uid="{1EE0148D-CFEE-4242-B7BD-67E4217DD728}"/>
    <dataValidation type="date" operator="greaterThan" allowBlank="1" showInputMessage="1" showErrorMessage="1" sqref="E12:F12" xr:uid="{23431A22-EA74-4080-A8E1-EC10B6F9253F}">
      <formula1>36526</formula1>
    </dataValidation>
    <dataValidation type="whole" allowBlank="1" showInputMessage="1" showErrorMessage="1" sqref="E11:F11" xr:uid="{CD8F9234-F594-4266-8B9F-5EC08612C928}">
      <formula1>1900</formula1>
      <formula2>3000</formula2>
    </dataValidation>
  </dataValidations>
  <pageMargins left="1" right="1" top="1" bottom="1" header="0.5" footer="0.5"/>
  <pageSetup scale="4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autoFill="0" autoLine="0" autoPict="0" macro="[1]!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026" r:id="rId5" name="Button 2">
              <controlPr defaultSize="0" autoFill="0" autoLine="0" autoPict="0" macro="[1]!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027" r:id="rId6" name="Button 3">
              <controlPr defaultSize="0" autoFill="0" autoLine="0" autoPict="0" macro="[1]!Sheet1.deleteRow">
                <anchor moveWithCells="1" sizeWithCells="1">
                  <from>
                    <xdr:col>6</xdr:col>
                    <xdr:colOff>0</xdr:colOff>
                    <xdr:row>22</xdr:row>
                    <xdr:rowOff>0</xdr:rowOff>
                  </from>
                  <to>
                    <xdr:col>7</xdr:col>
                    <xdr:colOff>0</xdr:colOff>
                    <xdr:row>22</xdr:row>
                    <xdr:rowOff>133350</xdr:rowOff>
                  </to>
                </anchor>
              </controlPr>
            </control>
          </mc:Choice>
        </mc:AlternateContent>
        <mc:AlternateContent xmlns:mc="http://schemas.openxmlformats.org/markup-compatibility/2006">
          <mc:Choice Requires="x14">
            <control shapeId="1028" r:id="rId7" name="Button 4">
              <controlPr defaultSize="0" autoFill="0" autoLine="0" autoPict="0" macro="[1]!Sheet1.deleteRow">
                <anchor moveWithCells="1" sizeWithCells="1">
                  <from>
                    <xdr:col>6</xdr:col>
                    <xdr:colOff>0</xdr:colOff>
                    <xdr:row>23</xdr:row>
                    <xdr:rowOff>0</xdr:rowOff>
                  </from>
                  <to>
                    <xdr:col>7</xdr:col>
                    <xdr:colOff>0</xdr:colOff>
                    <xdr:row>23</xdr:row>
                    <xdr:rowOff>133350</xdr:rowOff>
                  </to>
                </anchor>
              </controlPr>
            </control>
          </mc:Choice>
        </mc:AlternateContent>
        <mc:AlternateContent xmlns:mc="http://schemas.openxmlformats.org/markup-compatibility/2006">
          <mc:Choice Requires="x14">
            <control shapeId="1029" r:id="rId8" name="Button 5">
              <controlPr defaultSize="0" autoFill="0" autoLine="0" autoPict="0" macro="[1]!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30" r:id="rId9" name="Button 6">
              <controlPr defaultSize="0" autoFill="0" autoLine="0" autoPict="0" macro="[1]!Sheet1.InsertNewTabl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031" r:id="rId10" name="Button 7">
              <controlPr defaultSize="0" autoFill="0" autoLine="0" autoPict="0" macro="[1]!Sheet1.deleteRow">
                <anchor moveWithCells="1" sizeWithCells="1">
                  <from>
                    <xdr:col>6</xdr:col>
                    <xdr:colOff>0</xdr:colOff>
                    <xdr:row>34</xdr:row>
                    <xdr:rowOff>0</xdr:rowOff>
                  </from>
                  <to>
                    <xdr:col>7</xdr:col>
                    <xdr:colOff>0</xdr:colOff>
                    <xdr:row>34</xdr:row>
                    <xdr:rowOff>133350</xdr:rowOff>
                  </to>
                </anchor>
              </controlPr>
            </control>
          </mc:Choice>
        </mc:AlternateContent>
        <mc:AlternateContent xmlns:mc="http://schemas.openxmlformats.org/markup-compatibility/2006">
          <mc:Choice Requires="x14">
            <control shapeId="1032" r:id="rId11" name="Button 8">
              <controlPr defaultSize="0" autoFill="0" autoLine="0" autoPict="0" macro="[1]!Sheet1.deleteRow">
                <anchor moveWithCells="1" sizeWithCells="1">
                  <from>
                    <xdr:col>6</xdr:col>
                    <xdr:colOff>0</xdr:colOff>
                    <xdr:row>35</xdr:row>
                    <xdr:rowOff>0</xdr:rowOff>
                  </from>
                  <to>
                    <xdr:col>7</xdr:col>
                    <xdr:colOff>0</xdr:colOff>
                    <xdr:row>35</xdr:row>
                    <xdr:rowOff>133350</xdr:rowOff>
                  </to>
                </anchor>
              </controlPr>
            </control>
          </mc:Choice>
        </mc:AlternateContent>
        <mc:AlternateContent xmlns:mc="http://schemas.openxmlformats.org/markup-compatibility/2006">
          <mc:Choice Requires="x14">
            <control shapeId="1033" r:id="rId12" name="Button 9">
              <controlPr defaultSize="0" autoFill="0" autoLine="0" autoPict="0" macro="[1]!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034" r:id="rId13" name="Button 10">
              <controlPr defaultSize="0" autoFill="0" autoLine="0" autoPict="0" macro="[1]!Sheet1.InsertNewTabl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035" r:id="rId14" name="Button 11">
              <controlPr defaultSize="0" autoFill="0" autoLine="0" autoPict="0" macro="[1]!Sheet1.deleteRow">
                <anchor moveWithCells="1" sizeWithCells="1">
                  <from>
                    <xdr:col>6</xdr:col>
                    <xdr:colOff>0</xdr:colOff>
                    <xdr:row>46</xdr:row>
                    <xdr:rowOff>0</xdr:rowOff>
                  </from>
                  <to>
                    <xdr:col>7</xdr:col>
                    <xdr:colOff>0</xdr:colOff>
                    <xdr:row>46</xdr:row>
                    <xdr:rowOff>133350</xdr:rowOff>
                  </to>
                </anchor>
              </controlPr>
            </control>
          </mc:Choice>
        </mc:AlternateContent>
        <mc:AlternateContent xmlns:mc="http://schemas.openxmlformats.org/markup-compatibility/2006">
          <mc:Choice Requires="x14">
            <control shapeId="1036" r:id="rId15" name="Button 12">
              <controlPr defaultSize="0" autoFill="0" autoLine="0" autoPict="0" macro="[1]!Sheet1.deleteRow">
                <anchor moveWithCells="1" sizeWithCells="1">
                  <from>
                    <xdr:col>6</xdr:col>
                    <xdr:colOff>0</xdr:colOff>
                    <xdr:row>47</xdr:row>
                    <xdr:rowOff>0</xdr:rowOff>
                  </from>
                  <to>
                    <xdr:col>7</xdr:col>
                    <xdr:colOff>0</xdr:colOff>
                    <xdr:row>47</xdr:row>
                    <xdr:rowOff>133350</xdr:rowOff>
                  </to>
                </anchor>
              </controlPr>
            </control>
          </mc:Choice>
        </mc:AlternateContent>
        <mc:AlternateContent xmlns:mc="http://schemas.openxmlformats.org/markup-compatibility/2006">
          <mc:Choice Requires="x14">
            <control shapeId="1037" r:id="rId16" name="Button 13">
              <controlPr defaultSize="0" autoFill="0" autoLine="0" autoPict="0" macro="[1]!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038" r:id="rId17" name="Button 14">
              <controlPr defaultSize="0" autoFill="0" autoLine="0" autoPict="0" macro="[1]!Sheet1.InsertNewTabl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039" r:id="rId18" name="Button 15">
              <controlPr defaultSize="0" autoFill="0" autoLine="0" autoPict="0" macro="[1]!Sheet1.deleteRow">
                <anchor moveWithCells="1" sizeWithCells="1">
                  <from>
                    <xdr:col>6</xdr:col>
                    <xdr:colOff>0</xdr:colOff>
                    <xdr:row>58</xdr:row>
                    <xdr:rowOff>0</xdr:rowOff>
                  </from>
                  <to>
                    <xdr:col>7</xdr:col>
                    <xdr:colOff>0</xdr:colOff>
                    <xdr:row>58</xdr:row>
                    <xdr:rowOff>133350</xdr:rowOff>
                  </to>
                </anchor>
              </controlPr>
            </control>
          </mc:Choice>
        </mc:AlternateContent>
        <mc:AlternateContent xmlns:mc="http://schemas.openxmlformats.org/markup-compatibility/2006">
          <mc:Choice Requires="x14">
            <control shapeId="1040" r:id="rId19" name="Button 16">
              <controlPr defaultSize="0" autoFill="0" autoLine="0" autoPict="0" macro="[1]!Sheet1.deleteRow">
                <anchor moveWithCells="1" sizeWithCells="1">
                  <from>
                    <xdr:col>6</xdr:col>
                    <xdr:colOff>0</xdr:colOff>
                    <xdr:row>59</xdr:row>
                    <xdr:rowOff>0</xdr:rowOff>
                  </from>
                  <to>
                    <xdr:col>7</xdr:col>
                    <xdr:colOff>0</xdr:colOff>
                    <xdr:row>59</xdr:row>
                    <xdr:rowOff>133350</xdr:rowOff>
                  </to>
                </anchor>
              </controlPr>
            </control>
          </mc:Choice>
        </mc:AlternateContent>
        <mc:AlternateContent xmlns:mc="http://schemas.openxmlformats.org/markup-compatibility/2006">
          <mc:Choice Requires="x14">
            <control shapeId="1041" r:id="rId20" name="Button 17">
              <controlPr defaultSize="0" autoFill="0" autoLine="0" autoPict="0" macro="[1]!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042" r:id="rId21" name="Button 18">
              <controlPr defaultSize="0" autoFill="0" autoLine="0" autoPict="0" macro="[1]!Sheet1.InsertNewTabl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043" r:id="rId22" name="Button 19">
              <controlPr defaultSize="0" autoFill="0" autoLine="0" autoPict="0" macro="[1]!Sheet1.deleteRow">
                <anchor moveWithCells="1" sizeWithCells="1">
                  <from>
                    <xdr:col>6</xdr:col>
                    <xdr:colOff>0</xdr:colOff>
                    <xdr:row>70</xdr:row>
                    <xdr:rowOff>0</xdr:rowOff>
                  </from>
                  <to>
                    <xdr:col>7</xdr:col>
                    <xdr:colOff>0</xdr:colOff>
                    <xdr:row>70</xdr:row>
                    <xdr:rowOff>133350</xdr:rowOff>
                  </to>
                </anchor>
              </controlPr>
            </control>
          </mc:Choice>
        </mc:AlternateContent>
        <mc:AlternateContent xmlns:mc="http://schemas.openxmlformats.org/markup-compatibility/2006">
          <mc:Choice Requires="x14">
            <control shapeId="1044" r:id="rId23" name="Button 20">
              <controlPr defaultSize="0" autoFill="0" autoLine="0" autoPict="0" macro="[1]!Sheet1.deleteRow">
                <anchor moveWithCells="1" sizeWithCells="1">
                  <from>
                    <xdr:col>6</xdr:col>
                    <xdr:colOff>0</xdr:colOff>
                    <xdr:row>71</xdr:row>
                    <xdr:rowOff>0</xdr:rowOff>
                  </from>
                  <to>
                    <xdr:col>7</xdr:col>
                    <xdr:colOff>0</xdr:colOff>
                    <xdr:row>71</xdr:row>
                    <xdr:rowOff>133350</xdr:rowOff>
                  </to>
                </anchor>
              </controlPr>
            </control>
          </mc:Choice>
        </mc:AlternateContent>
        <mc:AlternateContent xmlns:mc="http://schemas.openxmlformats.org/markup-compatibility/2006">
          <mc:Choice Requires="x14">
            <control shapeId="1045" r:id="rId24" name="Button 21">
              <controlPr defaultSize="0" autoFill="0" autoLine="0" autoPict="0" macro="[1]!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046" r:id="rId25" name="Button 22">
              <controlPr defaultSize="0" autoFill="0" autoLine="0" autoPict="0" macro="[1]!Sheet1.InsertNewTabl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047" r:id="rId26" name="Button 23">
              <controlPr defaultSize="0" autoFill="0" autoLine="0" autoPict="0" macro="[1]!Sheet1.deleteRow">
                <anchor moveWithCells="1" sizeWithCells="1">
                  <from>
                    <xdr:col>6</xdr:col>
                    <xdr:colOff>0</xdr:colOff>
                    <xdr:row>82</xdr:row>
                    <xdr:rowOff>0</xdr:rowOff>
                  </from>
                  <to>
                    <xdr:col>7</xdr:col>
                    <xdr:colOff>0</xdr:colOff>
                    <xdr:row>82</xdr:row>
                    <xdr:rowOff>133350</xdr:rowOff>
                  </to>
                </anchor>
              </controlPr>
            </control>
          </mc:Choice>
        </mc:AlternateContent>
        <mc:AlternateContent xmlns:mc="http://schemas.openxmlformats.org/markup-compatibility/2006">
          <mc:Choice Requires="x14">
            <control shapeId="1048" r:id="rId27" name="Button 24">
              <controlPr defaultSize="0" autoFill="0" autoLine="0" autoPict="0" macro="[1]!Sheet1.deleteRow">
                <anchor moveWithCells="1" sizeWithCells="1">
                  <from>
                    <xdr:col>6</xdr:col>
                    <xdr:colOff>0</xdr:colOff>
                    <xdr:row>83</xdr:row>
                    <xdr:rowOff>0</xdr:rowOff>
                  </from>
                  <to>
                    <xdr:col>7</xdr:col>
                    <xdr:colOff>0</xdr:colOff>
                    <xdr:row>83</xdr:row>
                    <xdr:rowOff>133350</xdr:rowOff>
                  </to>
                </anchor>
              </controlPr>
            </control>
          </mc:Choice>
        </mc:AlternateContent>
        <mc:AlternateContent xmlns:mc="http://schemas.openxmlformats.org/markup-compatibility/2006">
          <mc:Choice Requires="x14">
            <control shapeId="1049" r:id="rId28" name="Button 25">
              <controlPr defaultSize="0" autoFill="0" autoLine="0" autoPict="0" macro="[1]!Sheet1.deleteRow">
                <anchor moveWithCells="1" sizeWithCells="1">
                  <from>
                    <xdr:col>6</xdr:col>
                    <xdr:colOff>0</xdr:colOff>
                    <xdr:row>84</xdr:row>
                    <xdr:rowOff>0</xdr:rowOff>
                  </from>
                  <to>
                    <xdr:col>7</xdr:col>
                    <xdr:colOff>0</xdr:colOff>
                    <xdr:row>84</xdr:row>
                    <xdr:rowOff>133350</xdr:rowOff>
                  </to>
                </anchor>
              </controlPr>
            </control>
          </mc:Choice>
        </mc:AlternateContent>
        <mc:AlternateContent xmlns:mc="http://schemas.openxmlformats.org/markup-compatibility/2006">
          <mc:Choice Requires="x14">
            <control shapeId="1050" r:id="rId29" name="Button 26">
              <controlPr defaultSize="0" autoFill="0" autoLine="0" autoPict="0" macro="[1]!Sheet1.deleteRow">
                <anchor moveWithCells="1" sizeWithCells="1">
                  <from>
                    <xdr:col>6</xdr:col>
                    <xdr:colOff>0</xdr:colOff>
                    <xdr:row>85</xdr:row>
                    <xdr:rowOff>0</xdr:rowOff>
                  </from>
                  <to>
                    <xdr:col>7</xdr:col>
                    <xdr:colOff>0</xdr:colOff>
                    <xdr:row>85</xdr:row>
                    <xdr:rowOff>133350</xdr:rowOff>
                  </to>
                </anchor>
              </controlPr>
            </control>
          </mc:Choice>
        </mc:AlternateContent>
        <mc:AlternateContent xmlns:mc="http://schemas.openxmlformats.org/markup-compatibility/2006">
          <mc:Choice Requires="x14">
            <control shapeId="1051" r:id="rId30" name="Button 27">
              <controlPr defaultSize="0" autoFill="0" autoLine="0" autoPict="0" macro="[1]!Sheet1.deleteRow">
                <anchor moveWithCells="1" sizeWithCells="1">
                  <from>
                    <xdr:col>6</xdr:col>
                    <xdr:colOff>0</xdr:colOff>
                    <xdr:row>86</xdr:row>
                    <xdr:rowOff>0</xdr:rowOff>
                  </from>
                  <to>
                    <xdr:col>7</xdr:col>
                    <xdr:colOff>0</xdr:colOff>
                    <xdr:row>86</xdr:row>
                    <xdr:rowOff>133350</xdr:rowOff>
                  </to>
                </anchor>
              </controlPr>
            </control>
          </mc:Choice>
        </mc:AlternateContent>
        <mc:AlternateContent xmlns:mc="http://schemas.openxmlformats.org/markup-compatibility/2006">
          <mc:Choice Requires="x14">
            <control shapeId="1052" r:id="rId31" name="Button 28">
              <controlPr defaultSize="0" autoFill="0" autoLine="0" autoPict="0" macro="[1]!Sheet1.deleteRow">
                <anchor moveWithCells="1" sizeWithCells="1">
                  <from>
                    <xdr:col>6</xdr:col>
                    <xdr:colOff>0</xdr:colOff>
                    <xdr:row>87</xdr:row>
                    <xdr:rowOff>0</xdr:rowOff>
                  </from>
                  <to>
                    <xdr:col>7</xdr:col>
                    <xdr:colOff>0</xdr:colOff>
                    <xdr:row>87</xdr:row>
                    <xdr:rowOff>133350</xdr:rowOff>
                  </to>
                </anchor>
              </controlPr>
            </control>
          </mc:Choice>
        </mc:AlternateContent>
        <mc:AlternateContent xmlns:mc="http://schemas.openxmlformats.org/markup-compatibility/2006">
          <mc:Choice Requires="x14">
            <control shapeId="1053" r:id="rId32" name="Button 29">
              <controlPr defaultSize="0" autoFill="0" autoLine="0" autoPict="0" macro="[1]!Sheet1.deleteRow">
                <anchor moveWithCells="1" sizeWithCells="1">
                  <from>
                    <xdr:col>6</xdr:col>
                    <xdr:colOff>0</xdr:colOff>
                    <xdr:row>88</xdr:row>
                    <xdr:rowOff>0</xdr:rowOff>
                  </from>
                  <to>
                    <xdr:col>7</xdr:col>
                    <xdr:colOff>0</xdr:colOff>
                    <xdr:row>88</xdr:row>
                    <xdr:rowOff>133350</xdr:rowOff>
                  </to>
                </anchor>
              </controlPr>
            </control>
          </mc:Choice>
        </mc:AlternateContent>
        <mc:AlternateContent xmlns:mc="http://schemas.openxmlformats.org/markup-compatibility/2006">
          <mc:Choice Requires="x14">
            <control shapeId="1054" r:id="rId33" name="Button 30">
              <controlPr defaultSize="0" autoFill="0" autoLine="0" autoPict="0" macro="[1]!Sheet1.deleteRow">
                <anchor moveWithCells="1" sizeWithCells="1">
                  <from>
                    <xdr:col>6</xdr:col>
                    <xdr:colOff>0</xdr:colOff>
                    <xdr:row>89</xdr:row>
                    <xdr:rowOff>0</xdr:rowOff>
                  </from>
                  <to>
                    <xdr:col>7</xdr:col>
                    <xdr:colOff>0</xdr:colOff>
                    <xdr:row>89</xdr:row>
                    <xdr:rowOff>133350</xdr:rowOff>
                  </to>
                </anchor>
              </controlPr>
            </control>
          </mc:Choice>
        </mc:AlternateContent>
        <mc:AlternateContent xmlns:mc="http://schemas.openxmlformats.org/markup-compatibility/2006">
          <mc:Choice Requires="x14">
            <control shapeId="1055" r:id="rId34" name="Button 31">
              <controlPr defaultSize="0" autoFill="0" autoLine="0" autoPict="0" macro="[1]!Sheet1.deleteRow">
                <anchor moveWithCells="1" sizeWithCells="1">
                  <from>
                    <xdr:col>6</xdr:col>
                    <xdr:colOff>0</xdr:colOff>
                    <xdr:row>90</xdr:row>
                    <xdr:rowOff>0</xdr:rowOff>
                  </from>
                  <to>
                    <xdr:col>7</xdr:col>
                    <xdr:colOff>0</xdr:colOff>
                    <xdr:row>90</xdr:row>
                    <xdr:rowOff>133350</xdr:rowOff>
                  </to>
                </anchor>
              </controlPr>
            </control>
          </mc:Choice>
        </mc:AlternateContent>
        <mc:AlternateContent xmlns:mc="http://schemas.openxmlformats.org/markup-compatibility/2006">
          <mc:Choice Requires="x14">
            <control shapeId="1056" r:id="rId35" name="Button 32">
              <controlPr defaultSize="0" autoFill="0" autoLine="0" autoPict="0" macro="[1]!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057" r:id="rId36" name="Button 33">
              <controlPr defaultSize="0" autoFill="0" autoLine="0" autoPict="0" macro="[1]!Sheet1.InsertNewTabl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058" r:id="rId37" name="Button 34">
              <controlPr defaultSize="0" autoFill="0" autoLine="0" autoPict="0" macro="[1]!Sheet1.deleteRow">
                <anchor moveWithCells="1" sizeWithCells="1">
                  <from>
                    <xdr:col>6</xdr:col>
                    <xdr:colOff>0</xdr:colOff>
                    <xdr:row>101</xdr:row>
                    <xdr:rowOff>0</xdr:rowOff>
                  </from>
                  <to>
                    <xdr:col>7</xdr:col>
                    <xdr:colOff>0</xdr:colOff>
                    <xdr:row>101</xdr:row>
                    <xdr:rowOff>133350</xdr:rowOff>
                  </to>
                </anchor>
              </controlPr>
            </control>
          </mc:Choice>
        </mc:AlternateContent>
        <mc:AlternateContent xmlns:mc="http://schemas.openxmlformats.org/markup-compatibility/2006">
          <mc:Choice Requires="x14">
            <control shapeId="1059" r:id="rId38" name="Button 35">
              <controlPr defaultSize="0" autoFill="0" autoLine="0" autoPict="0" macro="[1]!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060" r:id="rId39" name="Button 36">
              <controlPr defaultSize="0" autoFill="0" autoLine="0" autoPict="0" macro="[1]!Sheet1.InsertNewTabl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061" r:id="rId40" name="Button 37">
              <controlPr defaultSize="0" autoFill="0" autoLine="0" autoPict="0" macro="[1]!Sheet1.deleteRow">
                <anchor moveWithCells="1" sizeWithCells="1">
                  <from>
                    <xdr:col>6</xdr:col>
                    <xdr:colOff>0</xdr:colOff>
                    <xdr:row>112</xdr:row>
                    <xdr:rowOff>0</xdr:rowOff>
                  </from>
                  <to>
                    <xdr:col>7</xdr:col>
                    <xdr:colOff>0</xdr:colOff>
                    <xdr:row>112</xdr:row>
                    <xdr:rowOff>133350</xdr:rowOff>
                  </to>
                </anchor>
              </controlPr>
            </control>
          </mc:Choice>
        </mc:AlternateContent>
        <mc:AlternateContent xmlns:mc="http://schemas.openxmlformats.org/markup-compatibility/2006">
          <mc:Choice Requires="x14">
            <control shapeId="1062" r:id="rId41" name="Button 38">
              <controlPr defaultSize="0" autoFill="0" autoLine="0" autoPict="0" macro="[1]!Sheet1.deleteProcedure">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063" r:id="rId42" name="Button 39">
              <controlPr defaultSize="0" autoFill="0" autoLine="0" autoPict="0" macro="[1]!Sheet1.InsertNewTabl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064" r:id="rId43" name="Button 40">
              <controlPr defaultSize="0" autoFill="0" autoLine="0" autoPict="0" macro="[1]!Sheet1.deleteRow">
                <anchor moveWithCells="1" sizeWithCells="1">
                  <from>
                    <xdr:col>6</xdr:col>
                    <xdr:colOff>0</xdr:colOff>
                    <xdr:row>123</xdr:row>
                    <xdr:rowOff>0</xdr:rowOff>
                  </from>
                  <to>
                    <xdr:col>7</xdr:col>
                    <xdr:colOff>0</xdr:colOff>
                    <xdr:row>123</xdr:row>
                    <xdr:rowOff>133350</xdr:rowOff>
                  </to>
                </anchor>
              </controlPr>
            </control>
          </mc:Choice>
        </mc:AlternateContent>
        <mc:AlternateContent xmlns:mc="http://schemas.openxmlformats.org/markup-compatibility/2006">
          <mc:Choice Requires="x14">
            <control shapeId="1065" r:id="rId44" name="Button 41">
              <controlPr defaultSize="0" autoFill="0" autoLine="0" autoPict="0" macro="[1]!Sheet1.deleteProcedure">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066" r:id="rId45" name="Button 42">
              <controlPr defaultSize="0" autoFill="0" autoLine="0" autoPict="0" macro="[1]!Sheet1.InsertNewTabl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067" r:id="rId46" name="Button 43">
              <controlPr defaultSize="0" autoFill="0" autoLine="0" autoPict="0" macro="[1]!Sheet1.deleteRow">
                <anchor moveWithCells="1" sizeWithCells="1">
                  <from>
                    <xdr:col>6</xdr:col>
                    <xdr:colOff>0</xdr:colOff>
                    <xdr:row>134</xdr:row>
                    <xdr:rowOff>0</xdr:rowOff>
                  </from>
                  <to>
                    <xdr:col>7</xdr:col>
                    <xdr:colOff>0</xdr:colOff>
                    <xdr:row>134</xdr:row>
                    <xdr:rowOff>133350</xdr:rowOff>
                  </to>
                </anchor>
              </controlPr>
            </control>
          </mc:Choice>
        </mc:AlternateContent>
        <mc:AlternateContent xmlns:mc="http://schemas.openxmlformats.org/markup-compatibility/2006">
          <mc:Choice Requires="x14">
            <control shapeId="1068" r:id="rId47" name="Button 44">
              <controlPr defaultSize="0" autoFill="0" autoLine="0" autoPict="0" macro="[1]!Sheet1.deleteRow">
                <anchor moveWithCells="1" sizeWithCells="1">
                  <from>
                    <xdr:col>6</xdr:col>
                    <xdr:colOff>0</xdr:colOff>
                    <xdr:row>135</xdr:row>
                    <xdr:rowOff>0</xdr:rowOff>
                  </from>
                  <to>
                    <xdr:col>7</xdr:col>
                    <xdr:colOff>0</xdr:colOff>
                    <xdr:row>135</xdr:row>
                    <xdr:rowOff>133350</xdr:rowOff>
                  </to>
                </anchor>
              </controlPr>
            </control>
          </mc:Choice>
        </mc:AlternateContent>
        <mc:AlternateContent xmlns:mc="http://schemas.openxmlformats.org/markup-compatibility/2006">
          <mc:Choice Requires="x14">
            <control shapeId="1069" r:id="rId48" name="Button 45">
              <controlPr defaultSize="0" autoFill="0" autoLine="0" autoPict="0" macro="[1]!Sheet1.deleteProcedure">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070" r:id="rId49" name="Button 46">
              <controlPr defaultSize="0" autoFill="0" autoLine="0" autoPict="0" macro="[1]!Sheet1.InsertNewTabl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071" r:id="rId50" name="Button 47">
              <controlPr defaultSize="0" autoFill="0" autoLine="0" autoPict="0" macro="[1]!Sheet1.deleteRow">
                <anchor moveWithCells="1" sizeWithCells="1">
                  <from>
                    <xdr:col>6</xdr:col>
                    <xdr:colOff>0</xdr:colOff>
                    <xdr:row>146</xdr:row>
                    <xdr:rowOff>0</xdr:rowOff>
                  </from>
                  <to>
                    <xdr:col>7</xdr:col>
                    <xdr:colOff>0</xdr:colOff>
                    <xdr:row>146</xdr:row>
                    <xdr:rowOff>133350</xdr:rowOff>
                  </to>
                </anchor>
              </controlPr>
            </control>
          </mc:Choice>
        </mc:AlternateContent>
        <mc:AlternateContent xmlns:mc="http://schemas.openxmlformats.org/markup-compatibility/2006">
          <mc:Choice Requires="x14">
            <control shapeId="1072" r:id="rId51" name="Button 48">
              <controlPr defaultSize="0" autoFill="0" autoLine="0" autoPict="0" macro="[1]!Sheet1.deleteRow">
                <anchor moveWithCells="1" sizeWithCells="1">
                  <from>
                    <xdr:col>6</xdr:col>
                    <xdr:colOff>0</xdr:colOff>
                    <xdr:row>147</xdr:row>
                    <xdr:rowOff>0</xdr:rowOff>
                  </from>
                  <to>
                    <xdr:col>7</xdr:col>
                    <xdr:colOff>0</xdr:colOff>
                    <xdr:row>147</xdr:row>
                    <xdr:rowOff>133350</xdr:rowOff>
                  </to>
                </anchor>
              </controlPr>
            </control>
          </mc:Choice>
        </mc:AlternateContent>
        <mc:AlternateContent xmlns:mc="http://schemas.openxmlformats.org/markup-compatibility/2006">
          <mc:Choice Requires="x14">
            <control shapeId="1073" r:id="rId52" name="Button 49">
              <controlPr defaultSize="0" autoFill="0" autoLine="0" autoPict="0" macro="[1]!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074" r:id="rId53" name="Button 50">
              <controlPr defaultSize="0" autoFill="0" autoLine="0" autoPict="0" macro="[1]!Sheet1.InsertNewTabl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075" r:id="rId54" name="Button 51">
              <controlPr defaultSize="0" autoFill="0" autoLine="0" autoPict="0" macro="[1]!Sheet1.deleteRow">
                <anchor moveWithCells="1" sizeWithCells="1">
                  <from>
                    <xdr:col>6</xdr:col>
                    <xdr:colOff>0</xdr:colOff>
                    <xdr:row>158</xdr:row>
                    <xdr:rowOff>0</xdr:rowOff>
                  </from>
                  <to>
                    <xdr:col>7</xdr:col>
                    <xdr:colOff>0</xdr:colOff>
                    <xdr:row>158</xdr:row>
                    <xdr:rowOff>133350</xdr:rowOff>
                  </to>
                </anchor>
              </controlPr>
            </control>
          </mc:Choice>
        </mc:AlternateContent>
        <mc:AlternateContent xmlns:mc="http://schemas.openxmlformats.org/markup-compatibility/2006">
          <mc:Choice Requires="x14">
            <control shapeId="1076" r:id="rId55" name="Button 52">
              <controlPr defaultSize="0" autoFill="0" autoLine="0" autoPict="0" macro="[1]!Sheet1.deleteRow">
                <anchor moveWithCells="1" sizeWithCells="1">
                  <from>
                    <xdr:col>6</xdr:col>
                    <xdr:colOff>0</xdr:colOff>
                    <xdr:row>159</xdr:row>
                    <xdr:rowOff>0</xdr:rowOff>
                  </from>
                  <to>
                    <xdr:col>7</xdr:col>
                    <xdr:colOff>0</xdr:colOff>
                    <xdr:row>159</xdr:row>
                    <xdr:rowOff>133350</xdr:rowOff>
                  </to>
                </anchor>
              </controlPr>
            </control>
          </mc:Choice>
        </mc:AlternateContent>
        <mc:AlternateContent xmlns:mc="http://schemas.openxmlformats.org/markup-compatibility/2006">
          <mc:Choice Requires="x14">
            <control shapeId="1077" r:id="rId56" name="Button 53">
              <controlPr defaultSize="0" autoFill="0" autoLine="0" autoPict="0" macro="[1]!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078" r:id="rId57" name="Button 54">
              <controlPr defaultSize="0" autoFill="0" autoLine="0" autoPict="0" macro="[1]!Sheet1.InsertNewTabl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079" r:id="rId58" name="Button 55">
              <controlPr defaultSize="0" autoFill="0" autoLine="0" autoPict="0" macro="[1]!Sheet1.deleteRow">
                <anchor moveWithCells="1" sizeWithCells="1">
                  <from>
                    <xdr:col>6</xdr:col>
                    <xdr:colOff>0</xdr:colOff>
                    <xdr:row>170</xdr:row>
                    <xdr:rowOff>0</xdr:rowOff>
                  </from>
                  <to>
                    <xdr:col>7</xdr:col>
                    <xdr:colOff>0</xdr:colOff>
                    <xdr:row>170</xdr:row>
                    <xdr:rowOff>133350</xdr:rowOff>
                  </to>
                </anchor>
              </controlPr>
            </control>
          </mc:Choice>
        </mc:AlternateContent>
        <mc:AlternateContent xmlns:mc="http://schemas.openxmlformats.org/markup-compatibility/2006">
          <mc:Choice Requires="x14">
            <control shapeId="1080" r:id="rId59" name="Button 56">
              <controlPr defaultSize="0" autoFill="0" autoLine="0" autoPict="0" macro="[1]!Sheet1.deleteRow">
                <anchor moveWithCells="1" sizeWithCells="1">
                  <from>
                    <xdr:col>6</xdr:col>
                    <xdr:colOff>0</xdr:colOff>
                    <xdr:row>171</xdr:row>
                    <xdr:rowOff>0</xdr:rowOff>
                  </from>
                  <to>
                    <xdr:col>7</xdr:col>
                    <xdr:colOff>0</xdr:colOff>
                    <xdr:row>171</xdr:row>
                    <xdr:rowOff>133350</xdr:rowOff>
                  </to>
                </anchor>
              </controlPr>
            </control>
          </mc:Choice>
        </mc:AlternateContent>
        <mc:AlternateContent xmlns:mc="http://schemas.openxmlformats.org/markup-compatibility/2006">
          <mc:Choice Requires="x14">
            <control shapeId="1081" r:id="rId60" name="Button 57">
              <controlPr defaultSize="0" autoFill="0" autoLine="0" autoPict="0" macro="[1]!Sheet1.deleteProcedure">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082" r:id="rId61" name="Button 58">
              <controlPr defaultSize="0" autoFill="0" autoLine="0" autoPict="0" macro="[1]!Sheet1.InsertNewTabl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083" r:id="rId62" name="Button 59">
              <controlPr defaultSize="0" autoFill="0" autoLine="0" autoPict="0" macro="[1]!Sheet1.deleteRow">
                <anchor moveWithCells="1" sizeWithCells="1">
                  <from>
                    <xdr:col>6</xdr:col>
                    <xdr:colOff>0</xdr:colOff>
                    <xdr:row>182</xdr:row>
                    <xdr:rowOff>0</xdr:rowOff>
                  </from>
                  <to>
                    <xdr:col>7</xdr:col>
                    <xdr:colOff>0</xdr:colOff>
                    <xdr:row>182</xdr:row>
                    <xdr:rowOff>133350</xdr:rowOff>
                  </to>
                </anchor>
              </controlPr>
            </control>
          </mc:Choice>
        </mc:AlternateContent>
        <mc:AlternateContent xmlns:mc="http://schemas.openxmlformats.org/markup-compatibility/2006">
          <mc:Choice Requires="x14">
            <control shapeId="1084" r:id="rId63" name="Button 60">
              <controlPr defaultSize="0" autoFill="0" autoLine="0" autoPict="0" macro="[1]!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085" r:id="rId64" name="Button 61">
              <controlPr defaultSize="0" autoFill="0" autoLine="0" autoPict="0" macro="[1]!Sheet1.InsertNewTabl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086" r:id="rId65" name="Button 62">
              <controlPr defaultSize="0" autoFill="0" autoLine="0" autoPict="0" macro="[1]!Sheet1.deleteRow">
                <anchor moveWithCells="1" sizeWithCells="1">
                  <from>
                    <xdr:col>6</xdr:col>
                    <xdr:colOff>0</xdr:colOff>
                    <xdr:row>193</xdr:row>
                    <xdr:rowOff>0</xdr:rowOff>
                  </from>
                  <to>
                    <xdr:col>7</xdr:col>
                    <xdr:colOff>0</xdr:colOff>
                    <xdr:row>193</xdr:row>
                    <xdr:rowOff>133350</xdr:rowOff>
                  </to>
                </anchor>
              </controlPr>
            </control>
          </mc:Choice>
        </mc:AlternateContent>
        <mc:AlternateContent xmlns:mc="http://schemas.openxmlformats.org/markup-compatibility/2006">
          <mc:Choice Requires="x14">
            <control shapeId="1087" r:id="rId66" name="Button 63">
              <controlPr defaultSize="0" autoFill="0" autoLine="0" autoPict="0" macro="[1]!Sheet1.deleteProcedure">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088" r:id="rId67" name="Button 64">
              <controlPr defaultSize="0" autoFill="0" autoLine="0" autoPict="0" macro="[1]!Sheet1.InsertNewTabl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089" r:id="rId68" name="Button 65">
              <controlPr defaultSize="0" autoFill="0" autoLine="0" autoPict="0" macro="[1]!Sheet1.deleteRow">
                <anchor moveWithCells="1" sizeWithCells="1">
                  <from>
                    <xdr:col>6</xdr:col>
                    <xdr:colOff>0</xdr:colOff>
                    <xdr:row>204</xdr:row>
                    <xdr:rowOff>0</xdr:rowOff>
                  </from>
                  <to>
                    <xdr:col>7</xdr:col>
                    <xdr:colOff>0</xdr:colOff>
                    <xdr:row>204</xdr:row>
                    <xdr:rowOff>133350</xdr:rowOff>
                  </to>
                </anchor>
              </controlPr>
            </control>
          </mc:Choice>
        </mc:AlternateContent>
        <mc:AlternateContent xmlns:mc="http://schemas.openxmlformats.org/markup-compatibility/2006">
          <mc:Choice Requires="x14">
            <control shapeId="1090" r:id="rId69" name="Button 66">
              <controlPr defaultSize="0" autoFill="0" autoLine="0" autoPict="0" macro="[1]!Sheet1.deleteProcedure">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091" r:id="rId70" name="Button 67">
              <controlPr defaultSize="0" autoFill="0" autoLine="0" autoPict="0" macro="[1]!Sheet1.InsertNewTabl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092" r:id="rId71" name="Button 68">
              <controlPr defaultSize="0" autoFill="0" autoLine="0" autoPict="0" macro="[1]!Sheet1.deleteRow">
                <anchor moveWithCells="1" sizeWithCells="1">
                  <from>
                    <xdr:col>6</xdr:col>
                    <xdr:colOff>0</xdr:colOff>
                    <xdr:row>215</xdr:row>
                    <xdr:rowOff>0</xdr:rowOff>
                  </from>
                  <to>
                    <xdr:col>7</xdr:col>
                    <xdr:colOff>0</xdr:colOff>
                    <xdr:row>215</xdr:row>
                    <xdr:rowOff>133350</xdr:rowOff>
                  </to>
                </anchor>
              </controlPr>
            </control>
          </mc:Choice>
        </mc:AlternateContent>
        <mc:AlternateContent xmlns:mc="http://schemas.openxmlformats.org/markup-compatibility/2006">
          <mc:Choice Requires="x14">
            <control shapeId="1093" r:id="rId72" name="Button 69">
              <controlPr defaultSize="0" autoFill="0" autoLine="0" autoPict="0" macro="[1]!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094" r:id="rId73" name="Button 70">
              <controlPr defaultSize="0" autoFill="0" autoLine="0" autoPict="0" macro="[1]!Sheet1.InsertNewTabl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095" r:id="rId74" name="Button 71">
              <controlPr defaultSize="0" autoFill="0" autoLine="0" autoPict="0" macro="[1]!Sheet1.deleteRow">
                <anchor moveWithCells="1" sizeWithCells="1">
                  <from>
                    <xdr:col>6</xdr:col>
                    <xdr:colOff>0</xdr:colOff>
                    <xdr:row>226</xdr:row>
                    <xdr:rowOff>0</xdr:rowOff>
                  </from>
                  <to>
                    <xdr:col>7</xdr:col>
                    <xdr:colOff>0</xdr:colOff>
                    <xdr:row>226</xdr:row>
                    <xdr:rowOff>133350</xdr:rowOff>
                  </to>
                </anchor>
              </controlPr>
            </control>
          </mc:Choice>
        </mc:AlternateContent>
        <mc:AlternateContent xmlns:mc="http://schemas.openxmlformats.org/markup-compatibility/2006">
          <mc:Choice Requires="x14">
            <control shapeId="1096" r:id="rId75" name="Button 72">
              <controlPr defaultSize="0" autoFill="0" autoLine="0" autoPict="0" macro="[1]!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097" r:id="rId76" name="Button 73">
              <controlPr defaultSize="0" autoFill="0" autoLine="0" autoPict="0" macro="[1]!Sheet1.InsertNewTabl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098" r:id="rId77" name="Button 74">
              <controlPr defaultSize="0" autoFill="0" autoLine="0" autoPict="0" macro="[1]!Sheet1.deleteRow">
                <anchor moveWithCells="1" sizeWithCells="1">
                  <from>
                    <xdr:col>6</xdr:col>
                    <xdr:colOff>0</xdr:colOff>
                    <xdr:row>237</xdr:row>
                    <xdr:rowOff>0</xdr:rowOff>
                  </from>
                  <to>
                    <xdr:col>7</xdr:col>
                    <xdr:colOff>0</xdr:colOff>
                    <xdr:row>237</xdr:row>
                    <xdr:rowOff>133350</xdr:rowOff>
                  </to>
                </anchor>
              </controlPr>
            </control>
          </mc:Choice>
        </mc:AlternateContent>
        <mc:AlternateContent xmlns:mc="http://schemas.openxmlformats.org/markup-compatibility/2006">
          <mc:Choice Requires="x14">
            <control shapeId="1099" r:id="rId78" name="Button 75">
              <controlPr defaultSize="0" autoFill="0" autoLine="0" autoPict="0" macro="[1]!Sheet1.deleteRow">
                <anchor moveWithCells="1" sizeWithCells="1">
                  <from>
                    <xdr:col>6</xdr:col>
                    <xdr:colOff>0</xdr:colOff>
                    <xdr:row>238</xdr:row>
                    <xdr:rowOff>0</xdr:rowOff>
                  </from>
                  <to>
                    <xdr:col>7</xdr:col>
                    <xdr:colOff>0</xdr:colOff>
                    <xdr:row>238</xdr:row>
                    <xdr:rowOff>133350</xdr:rowOff>
                  </to>
                </anchor>
              </controlPr>
            </control>
          </mc:Choice>
        </mc:AlternateContent>
        <mc:AlternateContent xmlns:mc="http://schemas.openxmlformats.org/markup-compatibility/2006">
          <mc:Choice Requires="x14">
            <control shapeId="1100" r:id="rId79" name="Button 76">
              <controlPr defaultSize="0" autoFill="0" autoLine="0" autoPict="0" macro="[1]!Sheet1.deleteRow">
                <anchor moveWithCells="1" sizeWithCells="1">
                  <from>
                    <xdr:col>6</xdr:col>
                    <xdr:colOff>0</xdr:colOff>
                    <xdr:row>239</xdr:row>
                    <xdr:rowOff>0</xdr:rowOff>
                  </from>
                  <to>
                    <xdr:col>7</xdr:col>
                    <xdr:colOff>0</xdr:colOff>
                    <xdr:row>239</xdr:row>
                    <xdr:rowOff>133350</xdr:rowOff>
                  </to>
                </anchor>
              </controlPr>
            </control>
          </mc:Choice>
        </mc:AlternateContent>
        <mc:AlternateContent xmlns:mc="http://schemas.openxmlformats.org/markup-compatibility/2006">
          <mc:Choice Requires="x14">
            <control shapeId="1101" r:id="rId80" name="Button 77">
              <controlPr defaultSize="0" autoFill="0" autoLine="0" autoPict="0" macro="[1]!Sheet1.deleteRow">
                <anchor moveWithCells="1" sizeWithCells="1">
                  <from>
                    <xdr:col>6</xdr:col>
                    <xdr:colOff>0</xdr:colOff>
                    <xdr:row>240</xdr:row>
                    <xdr:rowOff>0</xdr:rowOff>
                  </from>
                  <to>
                    <xdr:col>7</xdr:col>
                    <xdr:colOff>0</xdr:colOff>
                    <xdr:row>240</xdr:row>
                    <xdr:rowOff>133350</xdr:rowOff>
                  </to>
                </anchor>
              </controlPr>
            </control>
          </mc:Choice>
        </mc:AlternateContent>
        <mc:AlternateContent xmlns:mc="http://schemas.openxmlformats.org/markup-compatibility/2006">
          <mc:Choice Requires="x14">
            <control shapeId="1102" r:id="rId81" name="Button 78">
              <controlPr defaultSize="0" autoFill="0" autoLine="0" autoPict="0" macro="[1]!Sheet1.deleteRow">
                <anchor moveWithCells="1" sizeWithCells="1">
                  <from>
                    <xdr:col>6</xdr:col>
                    <xdr:colOff>0</xdr:colOff>
                    <xdr:row>241</xdr:row>
                    <xdr:rowOff>0</xdr:rowOff>
                  </from>
                  <to>
                    <xdr:col>7</xdr:col>
                    <xdr:colOff>0</xdr:colOff>
                    <xdr:row>241</xdr:row>
                    <xdr:rowOff>133350</xdr:rowOff>
                  </to>
                </anchor>
              </controlPr>
            </control>
          </mc:Choice>
        </mc:AlternateContent>
        <mc:AlternateContent xmlns:mc="http://schemas.openxmlformats.org/markup-compatibility/2006">
          <mc:Choice Requires="x14">
            <control shapeId="1103" r:id="rId82" name="Button 79">
              <controlPr defaultSize="0" autoFill="0" autoLine="0" autoPict="0" macro="[1]!Sheet1.deleteRow">
                <anchor moveWithCells="1" sizeWithCells="1">
                  <from>
                    <xdr:col>6</xdr:col>
                    <xdr:colOff>0</xdr:colOff>
                    <xdr:row>242</xdr:row>
                    <xdr:rowOff>0</xdr:rowOff>
                  </from>
                  <to>
                    <xdr:col>7</xdr:col>
                    <xdr:colOff>0</xdr:colOff>
                    <xdr:row>242</xdr:row>
                    <xdr:rowOff>133350</xdr:rowOff>
                  </to>
                </anchor>
              </controlPr>
            </control>
          </mc:Choice>
        </mc:AlternateContent>
        <mc:AlternateContent xmlns:mc="http://schemas.openxmlformats.org/markup-compatibility/2006">
          <mc:Choice Requires="x14">
            <control shapeId="1104" r:id="rId83" name="Button 80">
              <controlPr defaultSize="0" autoFill="0" autoLine="0" autoPict="0" macro="[1]!Sheet1.deleteRow">
                <anchor moveWithCells="1" sizeWithCells="1">
                  <from>
                    <xdr:col>6</xdr:col>
                    <xdr:colOff>0</xdr:colOff>
                    <xdr:row>243</xdr:row>
                    <xdr:rowOff>0</xdr:rowOff>
                  </from>
                  <to>
                    <xdr:col>7</xdr:col>
                    <xdr:colOff>0</xdr:colOff>
                    <xdr:row>243</xdr:row>
                    <xdr:rowOff>133350</xdr:rowOff>
                  </to>
                </anchor>
              </controlPr>
            </control>
          </mc:Choice>
        </mc:AlternateContent>
        <mc:AlternateContent xmlns:mc="http://schemas.openxmlformats.org/markup-compatibility/2006">
          <mc:Choice Requires="x14">
            <control shapeId="1105" r:id="rId84" name="Button 81">
              <controlPr defaultSize="0" autoFill="0" autoLine="0" autoPict="0" macro="[1]!Sheet1.deleteRow">
                <anchor moveWithCells="1" sizeWithCells="1">
                  <from>
                    <xdr:col>6</xdr:col>
                    <xdr:colOff>0</xdr:colOff>
                    <xdr:row>244</xdr:row>
                    <xdr:rowOff>0</xdr:rowOff>
                  </from>
                  <to>
                    <xdr:col>7</xdr:col>
                    <xdr:colOff>0</xdr:colOff>
                    <xdr:row>244</xdr:row>
                    <xdr:rowOff>133350</xdr:rowOff>
                  </to>
                </anchor>
              </controlPr>
            </control>
          </mc:Choice>
        </mc:AlternateContent>
        <mc:AlternateContent xmlns:mc="http://schemas.openxmlformats.org/markup-compatibility/2006">
          <mc:Choice Requires="x14">
            <control shapeId="1106" r:id="rId85" name="Button 82">
              <controlPr defaultSize="0" autoFill="0" autoLine="0" autoPict="0" macro="[1]!Sheet1.deleteRow">
                <anchor moveWithCells="1" sizeWithCells="1">
                  <from>
                    <xdr:col>6</xdr:col>
                    <xdr:colOff>0</xdr:colOff>
                    <xdr:row>245</xdr:row>
                    <xdr:rowOff>0</xdr:rowOff>
                  </from>
                  <to>
                    <xdr:col>7</xdr:col>
                    <xdr:colOff>0</xdr:colOff>
                    <xdr:row>245</xdr:row>
                    <xdr:rowOff>133350</xdr:rowOff>
                  </to>
                </anchor>
              </controlPr>
            </control>
          </mc:Choice>
        </mc:AlternateContent>
        <mc:AlternateContent xmlns:mc="http://schemas.openxmlformats.org/markup-compatibility/2006">
          <mc:Choice Requires="x14">
            <control shapeId="1107" r:id="rId86" name="Button 83">
              <controlPr defaultSize="0" autoFill="0" autoLine="0" autoPict="0" macro="[1]!Sheet1.deleteRow">
                <anchor moveWithCells="1" sizeWithCells="1">
                  <from>
                    <xdr:col>6</xdr:col>
                    <xdr:colOff>0</xdr:colOff>
                    <xdr:row>246</xdr:row>
                    <xdr:rowOff>0</xdr:rowOff>
                  </from>
                  <to>
                    <xdr:col>7</xdr:col>
                    <xdr:colOff>0</xdr:colOff>
                    <xdr:row>246</xdr:row>
                    <xdr:rowOff>133350</xdr:rowOff>
                  </to>
                </anchor>
              </controlPr>
            </control>
          </mc:Choice>
        </mc:AlternateContent>
        <mc:AlternateContent xmlns:mc="http://schemas.openxmlformats.org/markup-compatibility/2006">
          <mc:Choice Requires="x14">
            <control shapeId="1108" r:id="rId87" name="Button 84">
              <controlPr defaultSize="0" autoFill="0" autoLine="0" autoPict="0" macro="[1]!Sheet1.deleteRow">
                <anchor moveWithCells="1" sizeWithCells="1">
                  <from>
                    <xdr:col>6</xdr:col>
                    <xdr:colOff>0</xdr:colOff>
                    <xdr:row>247</xdr:row>
                    <xdr:rowOff>0</xdr:rowOff>
                  </from>
                  <to>
                    <xdr:col>7</xdr:col>
                    <xdr:colOff>0</xdr:colOff>
                    <xdr:row>247</xdr:row>
                    <xdr:rowOff>133350</xdr:rowOff>
                  </to>
                </anchor>
              </controlPr>
            </control>
          </mc:Choice>
        </mc:AlternateContent>
        <mc:AlternateContent xmlns:mc="http://schemas.openxmlformats.org/markup-compatibility/2006">
          <mc:Choice Requires="x14">
            <control shapeId="1109" r:id="rId88" name="Button 85">
              <controlPr defaultSize="0" autoFill="0" autoLine="0" autoPict="0" macro="[1]!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110" r:id="rId89" name="Button 86">
              <controlPr defaultSize="0" autoFill="0" autoLine="0" autoPict="0" macro="[1]!Sheet1.InsertNewTabl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111" r:id="rId90" name="Button 87">
              <controlPr defaultSize="0" autoFill="0" autoLine="0" autoPict="0" macro="[1]!Sheet1.deleteRow">
                <anchor moveWithCells="1" sizeWithCells="1">
                  <from>
                    <xdr:col>6</xdr:col>
                    <xdr:colOff>0</xdr:colOff>
                    <xdr:row>258</xdr:row>
                    <xdr:rowOff>0</xdr:rowOff>
                  </from>
                  <to>
                    <xdr:col>7</xdr:col>
                    <xdr:colOff>0</xdr:colOff>
                    <xdr:row>258</xdr:row>
                    <xdr:rowOff>133350</xdr:rowOff>
                  </to>
                </anchor>
              </controlPr>
            </control>
          </mc:Choice>
        </mc:AlternateContent>
        <mc:AlternateContent xmlns:mc="http://schemas.openxmlformats.org/markup-compatibility/2006">
          <mc:Choice Requires="x14">
            <control shapeId="1112" r:id="rId91" name="Button 88">
              <controlPr defaultSize="0" autoFill="0" autoLine="0" autoPict="0" macro="[1]!Sheet1.deleteRow">
                <anchor moveWithCells="1" sizeWithCells="1">
                  <from>
                    <xdr:col>6</xdr:col>
                    <xdr:colOff>0</xdr:colOff>
                    <xdr:row>259</xdr:row>
                    <xdr:rowOff>0</xdr:rowOff>
                  </from>
                  <to>
                    <xdr:col>7</xdr:col>
                    <xdr:colOff>0</xdr:colOff>
                    <xdr:row>259</xdr:row>
                    <xdr:rowOff>133350</xdr:rowOff>
                  </to>
                </anchor>
              </controlPr>
            </control>
          </mc:Choice>
        </mc:AlternateContent>
        <mc:AlternateContent xmlns:mc="http://schemas.openxmlformats.org/markup-compatibility/2006">
          <mc:Choice Requires="x14">
            <control shapeId="1113" r:id="rId92" name="Button 89">
              <controlPr defaultSize="0" autoFill="0" autoLine="0" autoPict="0" macro="[1]!Sheet1.deleteRow">
                <anchor moveWithCells="1" sizeWithCells="1">
                  <from>
                    <xdr:col>6</xdr:col>
                    <xdr:colOff>0</xdr:colOff>
                    <xdr:row>260</xdr:row>
                    <xdr:rowOff>0</xdr:rowOff>
                  </from>
                  <to>
                    <xdr:col>7</xdr:col>
                    <xdr:colOff>0</xdr:colOff>
                    <xdr:row>260</xdr:row>
                    <xdr:rowOff>133350</xdr:rowOff>
                  </to>
                </anchor>
              </controlPr>
            </control>
          </mc:Choice>
        </mc:AlternateContent>
        <mc:AlternateContent xmlns:mc="http://schemas.openxmlformats.org/markup-compatibility/2006">
          <mc:Choice Requires="x14">
            <control shapeId="1114" r:id="rId93" name="Button 90">
              <controlPr defaultSize="0" autoFill="0" autoLine="0" autoPict="0" macro="[1]!Sheet1.deleteRow">
                <anchor moveWithCells="1" sizeWithCells="1">
                  <from>
                    <xdr:col>6</xdr:col>
                    <xdr:colOff>0</xdr:colOff>
                    <xdr:row>261</xdr:row>
                    <xdr:rowOff>0</xdr:rowOff>
                  </from>
                  <to>
                    <xdr:col>7</xdr:col>
                    <xdr:colOff>0</xdr:colOff>
                    <xdr:row>261</xdr:row>
                    <xdr:rowOff>133350</xdr:rowOff>
                  </to>
                </anchor>
              </controlPr>
            </control>
          </mc:Choice>
        </mc:AlternateContent>
        <mc:AlternateContent xmlns:mc="http://schemas.openxmlformats.org/markup-compatibility/2006">
          <mc:Choice Requires="x14">
            <control shapeId="1115" r:id="rId94" name="Button 91">
              <controlPr defaultSize="0" autoFill="0" autoLine="0" autoPict="0" macro="[1]!Sheet1.deleteRow">
                <anchor moveWithCells="1" sizeWithCells="1">
                  <from>
                    <xdr:col>6</xdr:col>
                    <xdr:colOff>0</xdr:colOff>
                    <xdr:row>262</xdr:row>
                    <xdr:rowOff>0</xdr:rowOff>
                  </from>
                  <to>
                    <xdr:col>7</xdr:col>
                    <xdr:colOff>0</xdr:colOff>
                    <xdr:row>262</xdr:row>
                    <xdr:rowOff>133350</xdr:rowOff>
                  </to>
                </anchor>
              </controlPr>
            </control>
          </mc:Choice>
        </mc:AlternateContent>
        <mc:AlternateContent xmlns:mc="http://schemas.openxmlformats.org/markup-compatibility/2006">
          <mc:Choice Requires="x14">
            <control shapeId="1116" r:id="rId95" name="Button 92">
              <controlPr defaultSize="0" autoFill="0" autoLine="0" autoPict="0" macro="[1]!Sheet1.deleteRow">
                <anchor moveWithCells="1" sizeWithCells="1">
                  <from>
                    <xdr:col>6</xdr:col>
                    <xdr:colOff>0</xdr:colOff>
                    <xdr:row>263</xdr:row>
                    <xdr:rowOff>0</xdr:rowOff>
                  </from>
                  <to>
                    <xdr:col>7</xdr:col>
                    <xdr:colOff>0</xdr:colOff>
                    <xdr:row>263</xdr:row>
                    <xdr:rowOff>133350</xdr:rowOff>
                  </to>
                </anchor>
              </controlPr>
            </control>
          </mc:Choice>
        </mc:AlternateContent>
        <mc:AlternateContent xmlns:mc="http://schemas.openxmlformats.org/markup-compatibility/2006">
          <mc:Choice Requires="x14">
            <control shapeId="1117" r:id="rId96" name="Button 93">
              <controlPr defaultSize="0" autoFill="0" autoLine="0" autoPict="0" macro="[1]!Sheet1.deleteRow">
                <anchor moveWithCells="1" sizeWithCells="1">
                  <from>
                    <xdr:col>6</xdr:col>
                    <xdr:colOff>0</xdr:colOff>
                    <xdr:row>264</xdr:row>
                    <xdr:rowOff>0</xdr:rowOff>
                  </from>
                  <to>
                    <xdr:col>7</xdr:col>
                    <xdr:colOff>0</xdr:colOff>
                    <xdr:row>264</xdr:row>
                    <xdr:rowOff>133350</xdr:rowOff>
                  </to>
                </anchor>
              </controlPr>
            </control>
          </mc:Choice>
        </mc:AlternateContent>
        <mc:AlternateContent xmlns:mc="http://schemas.openxmlformats.org/markup-compatibility/2006">
          <mc:Choice Requires="x14">
            <control shapeId="1118" r:id="rId97" name="Button 94">
              <controlPr defaultSize="0" autoFill="0" autoLine="0" autoPict="0" macro="[1]!Sheet1.deleteRow">
                <anchor moveWithCells="1" sizeWithCells="1">
                  <from>
                    <xdr:col>6</xdr:col>
                    <xdr:colOff>0</xdr:colOff>
                    <xdr:row>265</xdr:row>
                    <xdr:rowOff>0</xdr:rowOff>
                  </from>
                  <to>
                    <xdr:col>7</xdr:col>
                    <xdr:colOff>0</xdr:colOff>
                    <xdr:row>265</xdr:row>
                    <xdr:rowOff>133350</xdr:rowOff>
                  </to>
                </anchor>
              </controlPr>
            </control>
          </mc:Choice>
        </mc:AlternateContent>
        <mc:AlternateContent xmlns:mc="http://schemas.openxmlformats.org/markup-compatibility/2006">
          <mc:Choice Requires="x14">
            <control shapeId="1119" r:id="rId98" name="Button 95">
              <controlPr defaultSize="0" autoFill="0" autoLine="0" autoPict="0" macro="[1]!Sheet1.deleteRow">
                <anchor moveWithCells="1" sizeWithCells="1">
                  <from>
                    <xdr:col>6</xdr:col>
                    <xdr:colOff>0</xdr:colOff>
                    <xdr:row>266</xdr:row>
                    <xdr:rowOff>0</xdr:rowOff>
                  </from>
                  <to>
                    <xdr:col>7</xdr:col>
                    <xdr:colOff>0</xdr:colOff>
                    <xdr:row>266</xdr:row>
                    <xdr:rowOff>133350</xdr:rowOff>
                  </to>
                </anchor>
              </controlPr>
            </control>
          </mc:Choice>
        </mc:AlternateContent>
        <mc:AlternateContent xmlns:mc="http://schemas.openxmlformats.org/markup-compatibility/2006">
          <mc:Choice Requires="x14">
            <control shapeId="1120" r:id="rId99" name="Button 96">
              <controlPr defaultSize="0" autoFill="0" autoLine="0" autoPict="0" macro="[1]!Sheet1.deleteRow">
                <anchor moveWithCells="1" sizeWithCells="1">
                  <from>
                    <xdr:col>6</xdr:col>
                    <xdr:colOff>0</xdr:colOff>
                    <xdr:row>267</xdr:row>
                    <xdr:rowOff>0</xdr:rowOff>
                  </from>
                  <to>
                    <xdr:col>7</xdr:col>
                    <xdr:colOff>0</xdr:colOff>
                    <xdr:row>267</xdr:row>
                    <xdr:rowOff>133350</xdr:rowOff>
                  </to>
                </anchor>
              </controlPr>
            </control>
          </mc:Choice>
        </mc:AlternateContent>
        <mc:AlternateContent xmlns:mc="http://schemas.openxmlformats.org/markup-compatibility/2006">
          <mc:Choice Requires="x14">
            <control shapeId="1121" r:id="rId100" name="Button 97">
              <controlPr defaultSize="0" autoFill="0" autoLine="0" autoPict="0" macro="[1]!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122" r:id="rId101" name="Button 98">
              <controlPr defaultSize="0" autoFill="0" autoLine="0" autoPict="0" macro="[1]!Sheet1.InsertNewTabl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123" r:id="rId102" name="Button 99">
              <controlPr defaultSize="0" autoFill="0" autoLine="0" autoPict="0" macro="[1]!Sheet1.deleteRow">
                <anchor moveWithCells="1" sizeWithCells="1">
                  <from>
                    <xdr:col>6</xdr:col>
                    <xdr:colOff>0</xdr:colOff>
                    <xdr:row>278</xdr:row>
                    <xdr:rowOff>0</xdr:rowOff>
                  </from>
                  <to>
                    <xdr:col>7</xdr:col>
                    <xdr:colOff>0</xdr:colOff>
                    <xdr:row>278</xdr:row>
                    <xdr:rowOff>133350</xdr:rowOff>
                  </to>
                </anchor>
              </controlPr>
            </control>
          </mc:Choice>
        </mc:AlternateContent>
        <mc:AlternateContent xmlns:mc="http://schemas.openxmlformats.org/markup-compatibility/2006">
          <mc:Choice Requires="x14">
            <control shapeId="1124" r:id="rId103" name="Button 100">
              <controlPr defaultSize="0" autoFill="0" autoLine="0" autoPict="0" macro="[1]!Sheet1.deleteRow">
                <anchor moveWithCells="1" sizeWithCells="1">
                  <from>
                    <xdr:col>6</xdr:col>
                    <xdr:colOff>0</xdr:colOff>
                    <xdr:row>279</xdr:row>
                    <xdr:rowOff>0</xdr:rowOff>
                  </from>
                  <to>
                    <xdr:col>7</xdr:col>
                    <xdr:colOff>0</xdr:colOff>
                    <xdr:row>279</xdr:row>
                    <xdr:rowOff>133350</xdr:rowOff>
                  </to>
                </anchor>
              </controlPr>
            </control>
          </mc:Choice>
        </mc:AlternateContent>
        <mc:AlternateContent xmlns:mc="http://schemas.openxmlformats.org/markup-compatibility/2006">
          <mc:Choice Requires="x14">
            <control shapeId="1125" r:id="rId104" name="Button 101">
              <controlPr defaultSize="0" autoFill="0" autoLine="0" autoPict="0" macro="[1]!Sheet1.deleteRow">
                <anchor moveWithCells="1" sizeWithCells="1">
                  <from>
                    <xdr:col>6</xdr:col>
                    <xdr:colOff>0</xdr:colOff>
                    <xdr:row>280</xdr:row>
                    <xdr:rowOff>0</xdr:rowOff>
                  </from>
                  <to>
                    <xdr:col>7</xdr:col>
                    <xdr:colOff>0</xdr:colOff>
                    <xdr:row>280</xdr:row>
                    <xdr:rowOff>133350</xdr:rowOff>
                  </to>
                </anchor>
              </controlPr>
            </control>
          </mc:Choice>
        </mc:AlternateContent>
        <mc:AlternateContent xmlns:mc="http://schemas.openxmlformats.org/markup-compatibility/2006">
          <mc:Choice Requires="x14">
            <control shapeId="1126" r:id="rId105" name="Button 102">
              <controlPr defaultSize="0" autoFill="0" autoLine="0" autoPict="0" macro="[1]!Sheet1.deleteRow">
                <anchor moveWithCells="1" sizeWithCells="1">
                  <from>
                    <xdr:col>6</xdr:col>
                    <xdr:colOff>0</xdr:colOff>
                    <xdr:row>281</xdr:row>
                    <xdr:rowOff>0</xdr:rowOff>
                  </from>
                  <to>
                    <xdr:col>7</xdr:col>
                    <xdr:colOff>0</xdr:colOff>
                    <xdr:row>281</xdr:row>
                    <xdr:rowOff>133350</xdr:rowOff>
                  </to>
                </anchor>
              </controlPr>
            </control>
          </mc:Choice>
        </mc:AlternateContent>
        <mc:AlternateContent xmlns:mc="http://schemas.openxmlformats.org/markup-compatibility/2006">
          <mc:Choice Requires="x14">
            <control shapeId="1127" r:id="rId106" name="Button 103">
              <controlPr defaultSize="0" autoFill="0" autoLine="0" autoPict="0" macro="[1]!Sheet1.deleteRow">
                <anchor moveWithCells="1" sizeWithCells="1">
                  <from>
                    <xdr:col>6</xdr:col>
                    <xdr:colOff>0</xdr:colOff>
                    <xdr:row>282</xdr:row>
                    <xdr:rowOff>0</xdr:rowOff>
                  </from>
                  <to>
                    <xdr:col>7</xdr:col>
                    <xdr:colOff>0</xdr:colOff>
                    <xdr:row>282</xdr:row>
                    <xdr:rowOff>133350</xdr:rowOff>
                  </to>
                </anchor>
              </controlPr>
            </control>
          </mc:Choice>
        </mc:AlternateContent>
        <mc:AlternateContent xmlns:mc="http://schemas.openxmlformats.org/markup-compatibility/2006">
          <mc:Choice Requires="x14">
            <control shapeId="1128" r:id="rId107" name="Button 104">
              <controlPr defaultSize="0" autoFill="0" autoLine="0" autoPict="0" macro="[1]!Sheet1.deleteRow">
                <anchor moveWithCells="1" sizeWithCells="1">
                  <from>
                    <xdr:col>6</xdr:col>
                    <xdr:colOff>0</xdr:colOff>
                    <xdr:row>283</xdr:row>
                    <xdr:rowOff>0</xdr:rowOff>
                  </from>
                  <to>
                    <xdr:col>7</xdr:col>
                    <xdr:colOff>0</xdr:colOff>
                    <xdr:row>283</xdr:row>
                    <xdr:rowOff>133350</xdr:rowOff>
                  </to>
                </anchor>
              </controlPr>
            </control>
          </mc:Choice>
        </mc:AlternateContent>
        <mc:AlternateContent xmlns:mc="http://schemas.openxmlformats.org/markup-compatibility/2006">
          <mc:Choice Requires="x14">
            <control shapeId="1129" r:id="rId108" name="Button 105">
              <controlPr defaultSize="0" autoFill="0" autoLine="0" autoPict="0" macro="[1]!Sheet1.deleteRow">
                <anchor moveWithCells="1" sizeWithCells="1">
                  <from>
                    <xdr:col>6</xdr:col>
                    <xdr:colOff>0</xdr:colOff>
                    <xdr:row>284</xdr:row>
                    <xdr:rowOff>0</xdr:rowOff>
                  </from>
                  <to>
                    <xdr:col>7</xdr:col>
                    <xdr:colOff>0</xdr:colOff>
                    <xdr:row>284</xdr:row>
                    <xdr:rowOff>133350</xdr:rowOff>
                  </to>
                </anchor>
              </controlPr>
            </control>
          </mc:Choice>
        </mc:AlternateContent>
        <mc:AlternateContent xmlns:mc="http://schemas.openxmlformats.org/markup-compatibility/2006">
          <mc:Choice Requires="x14">
            <control shapeId="1130" r:id="rId109" name="Button 106">
              <controlPr defaultSize="0" autoFill="0" autoLine="0" autoPict="0" macro="[1]!Sheet1.deleteRow">
                <anchor moveWithCells="1" sizeWithCells="1">
                  <from>
                    <xdr:col>6</xdr:col>
                    <xdr:colOff>0</xdr:colOff>
                    <xdr:row>285</xdr:row>
                    <xdr:rowOff>0</xdr:rowOff>
                  </from>
                  <to>
                    <xdr:col>7</xdr:col>
                    <xdr:colOff>0</xdr:colOff>
                    <xdr:row>285</xdr:row>
                    <xdr:rowOff>133350</xdr:rowOff>
                  </to>
                </anchor>
              </controlPr>
            </control>
          </mc:Choice>
        </mc:AlternateContent>
        <mc:AlternateContent xmlns:mc="http://schemas.openxmlformats.org/markup-compatibility/2006">
          <mc:Choice Requires="x14">
            <control shapeId="1131" r:id="rId110" name="Button 107">
              <controlPr defaultSize="0" autoFill="0" autoLine="0" autoPict="0" macro="[1]!Sheet1.deleteRow">
                <anchor moveWithCells="1" sizeWithCells="1">
                  <from>
                    <xdr:col>6</xdr:col>
                    <xdr:colOff>0</xdr:colOff>
                    <xdr:row>286</xdr:row>
                    <xdr:rowOff>0</xdr:rowOff>
                  </from>
                  <to>
                    <xdr:col>7</xdr:col>
                    <xdr:colOff>0</xdr:colOff>
                    <xdr:row>286</xdr:row>
                    <xdr:rowOff>133350</xdr:rowOff>
                  </to>
                </anchor>
              </controlPr>
            </control>
          </mc:Choice>
        </mc:AlternateContent>
        <mc:AlternateContent xmlns:mc="http://schemas.openxmlformats.org/markup-compatibility/2006">
          <mc:Choice Requires="x14">
            <control shapeId="1132" r:id="rId111" name="Button 108">
              <controlPr defaultSize="0" autoFill="0" autoLine="0" autoPict="0" macro="[1]!Sheet1.deleteRow">
                <anchor moveWithCells="1" sizeWithCells="1">
                  <from>
                    <xdr:col>6</xdr:col>
                    <xdr:colOff>0</xdr:colOff>
                    <xdr:row>287</xdr:row>
                    <xdr:rowOff>0</xdr:rowOff>
                  </from>
                  <to>
                    <xdr:col>7</xdr:col>
                    <xdr:colOff>0</xdr:colOff>
                    <xdr:row>287</xdr:row>
                    <xdr:rowOff>133350</xdr:rowOff>
                  </to>
                </anchor>
              </controlPr>
            </control>
          </mc:Choice>
        </mc:AlternateContent>
        <mc:AlternateContent xmlns:mc="http://schemas.openxmlformats.org/markup-compatibility/2006">
          <mc:Choice Requires="x14">
            <control shapeId="1133" r:id="rId112" name="Button 109">
              <controlPr defaultSize="0" autoFill="0" autoLine="0" autoPict="0" macro="[1]!Sheet1.deleteRow">
                <anchor moveWithCells="1" sizeWithCells="1">
                  <from>
                    <xdr:col>6</xdr:col>
                    <xdr:colOff>0</xdr:colOff>
                    <xdr:row>288</xdr:row>
                    <xdr:rowOff>0</xdr:rowOff>
                  </from>
                  <to>
                    <xdr:col>7</xdr:col>
                    <xdr:colOff>0</xdr:colOff>
                    <xdr:row>288</xdr:row>
                    <xdr:rowOff>133350</xdr:rowOff>
                  </to>
                </anchor>
              </controlPr>
            </control>
          </mc:Choice>
        </mc:AlternateContent>
        <mc:AlternateContent xmlns:mc="http://schemas.openxmlformats.org/markup-compatibility/2006">
          <mc:Choice Requires="x14">
            <control shapeId="1134" r:id="rId113" name="Button 110">
              <controlPr defaultSize="0" autoFill="0" autoLine="0" autoPict="0" macro="[1]!Sheet1.deleteRow">
                <anchor moveWithCells="1" sizeWithCells="1">
                  <from>
                    <xdr:col>6</xdr:col>
                    <xdr:colOff>0</xdr:colOff>
                    <xdr:row>289</xdr:row>
                    <xdr:rowOff>0</xdr:rowOff>
                  </from>
                  <to>
                    <xdr:col>7</xdr:col>
                    <xdr:colOff>0</xdr:colOff>
                    <xdr:row>289</xdr:row>
                    <xdr:rowOff>133350</xdr:rowOff>
                  </to>
                </anchor>
              </controlPr>
            </control>
          </mc:Choice>
        </mc:AlternateContent>
        <mc:AlternateContent xmlns:mc="http://schemas.openxmlformats.org/markup-compatibility/2006">
          <mc:Choice Requires="x14">
            <control shapeId="1135" r:id="rId114" name="Button 111">
              <controlPr defaultSize="0" autoFill="0" autoLine="0" autoPict="0" macro="[1]!Sheet1.deleteRow">
                <anchor moveWithCells="1" sizeWithCells="1">
                  <from>
                    <xdr:col>6</xdr:col>
                    <xdr:colOff>0</xdr:colOff>
                    <xdr:row>290</xdr:row>
                    <xdr:rowOff>0</xdr:rowOff>
                  </from>
                  <to>
                    <xdr:col>7</xdr:col>
                    <xdr:colOff>0</xdr:colOff>
                    <xdr:row>290</xdr:row>
                    <xdr:rowOff>133350</xdr:rowOff>
                  </to>
                </anchor>
              </controlPr>
            </control>
          </mc:Choice>
        </mc:AlternateContent>
        <mc:AlternateContent xmlns:mc="http://schemas.openxmlformats.org/markup-compatibility/2006">
          <mc:Choice Requires="x14">
            <control shapeId="1136" r:id="rId115" name="Button 112">
              <controlPr defaultSize="0" autoFill="0" autoLine="0" autoPict="0" macro="[1]!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137" r:id="rId116" name="Button 113">
              <controlPr defaultSize="0" autoFill="0" autoLine="0" autoPict="0" macro="[1]!Sheet1.InsertNewTabl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138" r:id="rId117" name="Button 114">
              <controlPr defaultSize="0" autoFill="0" autoLine="0" autoPict="0" macro="[1]!Sheet1.deleteRow">
                <anchor moveWithCells="1" sizeWithCells="1">
                  <from>
                    <xdr:col>6</xdr:col>
                    <xdr:colOff>0</xdr:colOff>
                    <xdr:row>301</xdr:row>
                    <xdr:rowOff>0</xdr:rowOff>
                  </from>
                  <to>
                    <xdr:col>7</xdr:col>
                    <xdr:colOff>0</xdr:colOff>
                    <xdr:row>301</xdr:row>
                    <xdr:rowOff>133350</xdr:rowOff>
                  </to>
                </anchor>
              </controlPr>
            </control>
          </mc:Choice>
        </mc:AlternateContent>
        <mc:AlternateContent xmlns:mc="http://schemas.openxmlformats.org/markup-compatibility/2006">
          <mc:Choice Requires="x14">
            <control shapeId="1139" r:id="rId118" name="Button 115">
              <controlPr defaultSize="0" autoFill="0" autoLine="0" autoPict="0" macro="[1]!Sheet1.deleteRow">
                <anchor moveWithCells="1" sizeWithCells="1">
                  <from>
                    <xdr:col>6</xdr:col>
                    <xdr:colOff>0</xdr:colOff>
                    <xdr:row>302</xdr:row>
                    <xdr:rowOff>0</xdr:rowOff>
                  </from>
                  <to>
                    <xdr:col>7</xdr:col>
                    <xdr:colOff>0</xdr:colOff>
                    <xdr:row>302</xdr:row>
                    <xdr:rowOff>133350</xdr:rowOff>
                  </to>
                </anchor>
              </controlPr>
            </control>
          </mc:Choice>
        </mc:AlternateContent>
        <mc:AlternateContent xmlns:mc="http://schemas.openxmlformats.org/markup-compatibility/2006">
          <mc:Choice Requires="x14">
            <control shapeId="1140" r:id="rId119" name="Button 116">
              <controlPr defaultSize="0" autoFill="0" autoLine="0" autoPict="0" macro="[1]!Sheet1.deleteRow">
                <anchor moveWithCells="1" sizeWithCells="1">
                  <from>
                    <xdr:col>6</xdr:col>
                    <xdr:colOff>0</xdr:colOff>
                    <xdr:row>303</xdr:row>
                    <xdr:rowOff>0</xdr:rowOff>
                  </from>
                  <to>
                    <xdr:col>7</xdr:col>
                    <xdr:colOff>0</xdr:colOff>
                    <xdr:row>303</xdr:row>
                    <xdr:rowOff>133350</xdr:rowOff>
                  </to>
                </anchor>
              </controlPr>
            </control>
          </mc:Choice>
        </mc:AlternateContent>
        <mc:AlternateContent xmlns:mc="http://schemas.openxmlformats.org/markup-compatibility/2006">
          <mc:Choice Requires="x14">
            <control shapeId="1141" r:id="rId120" name="Button 117">
              <controlPr defaultSize="0" autoFill="0" autoLine="0" autoPict="0" macro="[1]!Sheet1.deleteProcedure">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142" r:id="rId121" name="Button 118">
              <controlPr defaultSize="0" autoFill="0" autoLine="0" autoPict="0" macro="[1]!Sheet1.InsertNewTabl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143" r:id="rId122" name="Button 119">
              <controlPr defaultSize="0" autoFill="0" autoLine="0" autoPict="0" macro="[1]!Sheet1.deleteRow">
                <anchor moveWithCells="1" sizeWithCells="1">
                  <from>
                    <xdr:col>6</xdr:col>
                    <xdr:colOff>0</xdr:colOff>
                    <xdr:row>314</xdr:row>
                    <xdr:rowOff>0</xdr:rowOff>
                  </from>
                  <to>
                    <xdr:col>7</xdr:col>
                    <xdr:colOff>0</xdr:colOff>
                    <xdr:row>314</xdr:row>
                    <xdr:rowOff>133350</xdr:rowOff>
                  </to>
                </anchor>
              </controlPr>
            </control>
          </mc:Choice>
        </mc:AlternateContent>
        <mc:AlternateContent xmlns:mc="http://schemas.openxmlformats.org/markup-compatibility/2006">
          <mc:Choice Requires="x14">
            <control shapeId="1144" r:id="rId123" name="Button 120">
              <controlPr defaultSize="0" autoFill="0" autoLine="0" autoPict="0" macro="[1]!Sheet1.deleteRow">
                <anchor moveWithCells="1" sizeWithCells="1">
                  <from>
                    <xdr:col>6</xdr:col>
                    <xdr:colOff>0</xdr:colOff>
                    <xdr:row>315</xdr:row>
                    <xdr:rowOff>0</xdr:rowOff>
                  </from>
                  <to>
                    <xdr:col>7</xdr:col>
                    <xdr:colOff>0</xdr:colOff>
                    <xdr:row>315</xdr:row>
                    <xdr:rowOff>133350</xdr:rowOff>
                  </to>
                </anchor>
              </controlPr>
            </control>
          </mc:Choice>
        </mc:AlternateContent>
        <mc:AlternateContent xmlns:mc="http://schemas.openxmlformats.org/markup-compatibility/2006">
          <mc:Choice Requires="x14">
            <control shapeId="1145" r:id="rId124" name="Button 121">
              <controlPr defaultSize="0" autoFill="0" autoLine="0" autoPict="0" macro="[1]!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146" r:id="rId125" name="Button 122">
              <controlPr defaultSize="0" autoFill="0" autoLine="0" autoPict="0" macro="[1]!Sheet1.InsertNewTabl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147" r:id="rId126" name="Button 123">
              <controlPr defaultSize="0" autoFill="0" autoLine="0" autoPict="0" macro="[1]!Sheet1.deleteRow">
                <anchor moveWithCells="1" sizeWithCells="1">
                  <from>
                    <xdr:col>6</xdr:col>
                    <xdr:colOff>0</xdr:colOff>
                    <xdr:row>326</xdr:row>
                    <xdr:rowOff>0</xdr:rowOff>
                  </from>
                  <to>
                    <xdr:col>7</xdr:col>
                    <xdr:colOff>0</xdr:colOff>
                    <xdr:row>326</xdr:row>
                    <xdr:rowOff>133350</xdr:rowOff>
                  </to>
                </anchor>
              </controlPr>
            </control>
          </mc:Choice>
        </mc:AlternateContent>
        <mc:AlternateContent xmlns:mc="http://schemas.openxmlformats.org/markup-compatibility/2006">
          <mc:Choice Requires="x14">
            <control shapeId="1148" r:id="rId127" name="Button 124">
              <controlPr defaultSize="0" autoFill="0" autoLine="0" autoPict="0" macro="[1]!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149" r:id="rId128" name="Button 125">
              <controlPr defaultSize="0" autoFill="0" autoLine="0" autoPict="0" macro="[1]!Sheet1.InsertNewTabl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150" r:id="rId129" name="Button 126">
              <controlPr defaultSize="0" autoFill="0" autoLine="0" autoPict="0" macro="[1]!Sheet1.deleteRow">
                <anchor moveWithCells="1" sizeWithCells="1">
                  <from>
                    <xdr:col>6</xdr:col>
                    <xdr:colOff>0</xdr:colOff>
                    <xdr:row>337</xdr:row>
                    <xdr:rowOff>0</xdr:rowOff>
                  </from>
                  <to>
                    <xdr:col>7</xdr:col>
                    <xdr:colOff>0</xdr:colOff>
                    <xdr:row>337</xdr:row>
                    <xdr:rowOff>133350</xdr:rowOff>
                  </to>
                </anchor>
              </controlPr>
            </control>
          </mc:Choice>
        </mc:AlternateContent>
        <mc:AlternateContent xmlns:mc="http://schemas.openxmlformats.org/markup-compatibility/2006">
          <mc:Choice Requires="x14">
            <control shapeId="1151" r:id="rId130" name="Button 127">
              <controlPr defaultSize="0" autoFill="0" autoLine="0" autoPict="0" macro="[1]!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152" r:id="rId131" name="Button 128">
              <controlPr defaultSize="0" autoFill="0" autoLine="0" autoPict="0" macro="[1]!Sheet1.InsertNewTabl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153" r:id="rId132" name="Button 129">
              <controlPr defaultSize="0" autoFill="0" autoLine="0" autoPict="0" macro="[1]!Sheet1.deleteRow">
                <anchor moveWithCells="1" sizeWithCells="1">
                  <from>
                    <xdr:col>6</xdr:col>
                    <xdr:colOff>0</xdr:colOff>
                    <xdr:row>348</xdr:row>
                    <xdr:rowOff>0</xdr:rowOff>
                  </from>
                  <to>
                    <xdr:col>7</xdr:col>
                    <xdr:colOff>0</xdr:colOff>
                    <xdr:row>348</xdr:row>
                    <xdr:rowOff>133350</xdr:rowOff>
                  </to>
                </anchor>
              </controlPr>
            </control>
          </mc:Choice>
        </mc:AlternateContent>
        <mc:AlternateContent xmlns:mc="http://schemas.openxmlformats.org/markup-compatibility/2006">
          <mc:Choice Requires="x14">
            <control shapeId="1154" r:id="rId133" name="Button 130">
              <controlPr defaultSize="0" autoFill="0" autoLine="0" autoPict="0" macro="[1]!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155" r:id="rId134" name="Button 131">
              <controlPr defaultSize="0" autoFill="0" autoLine="0" autoPict="0" macro="[1]!Sheet1.InsertNewTabl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156" r:id="rId135" name="Button 132">
              <controlPr defaultSize="0" autoFill="0" autoLine="0" autoPict="0" macro="[1]!Sheet1.deleteRow">
                <anchor moveWithCells="1" sizeWithCells="1">
                  <from>
                    <xdr:col>6</xdr:col>
                    <xdr:colOff>0</xdr:colOff>
                    <xdr:row>359</xdr:row>
                    <xdr:rowOff>0</xdr:rowOff>
                  </from>
                  <to>
                    <xdr:col>7</xdr:col>
                    <xdr:colOff>0</xdr:colOff>
                    <xdr:row>359</xdr:row>
                    <xdr:rowOff>133350</xdr:rowOff>
                  </to>
                </anchor>
              </controlPr>
            </control>
          </mc:Choice>
        </mc:AlternateContent>
        <mc:AlternateContent xmlns:mc="http://schemas.openxmlformats.org/markup-compatibility/2006">
          <mc:Choice Requires="x14">
            <control shapeId="1157" r:id="rId136" name="Button 133">
              <controlPr defaultSize="0" autoFill="0" autoLine="0" autoPict="0" macro="[1]!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158" r:id="rId137" name="Button 134">
              <controlPr defaultSize="0" autoFill="0" autoLine="0" autoPict="0" macro="[1]!Sheet1.InsertNewTabl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159" r:id="rId138" name="Button 135">
              <controlPr defaultSize="0" autoFill="0" autoLine="0" autoPict="0" macro="[1]!Sheet1.deleteRow">
                <anchor moveWithCells="1" sizeWithCells="1">
                  <from>
                    <xdr:col>6</xdr:col>
                    <xdr:colOff>0</xdr:colOff>
                    <xdr:row>370</xdr:row>
                    <xdr:rowOff>0</xdr:rowOff>
                  </from>
                  <to>
                    <xdr:col>7</xdr:col>
                    <xdr:colOff>0</xdr:colOff>
                    <xdr:row>370</xdr:row>
                    <xdr:rowOff>133350</xdr:rowOff>
                  </to>
                </anchor>
              </controlPr>
            </control>
          </mc:Choice>
        </mc:AlternateContent>
        <mc:AlternateContent xmlns:mc="http://schemas.openxmlformats.org/markup-compatibility/2006">
          <mc:Choice Requires="x14">
            <control shapeId="1160" r:id="rId139" name="Button 136">
              <controlPr defaultSize="0" autoFill="0" autoLine="0" autoPict="0" macro="[1]!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161" r:id="rId140" name="Button 137">
              <controlPr defaultSize="0" autoFill="0" autoLine="0" autoPict="0" macro="[1]!Sheet1.InsertNewTabl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162" r:id="rId141" name="Button 138">
              <controlPr defaultSize="0" autoFill="0" autoLine="0" autoPict="0" macro="[1]!Sheet1.deleteRow">
                <anchor moveWithCells="1" sizeWithCells="1">
                  <from>
                    <xdr:col>6</xdr:col>
                    <xdr:colOff>0</xdr:colOff>
                    <xdr:row>381</xdr:row>
                    <xdr:rowOff>0</xdr:rowOff>
                  </from>
                  <to>
                    <xdr:col>7</xdr:col>
                    <xdr:colOff>0</xdr:colOff>
                    <xdr:row>381</xdr:row>
                    <xdr:rowOff>133350</xdr:rowOff>
                  </to>
                </anchor>
              </controlPr>
            </control>
          </mc:Choice>
        </mc:AlternateContent>
        <mc:AlternateContent xmlns:mc="http://schemas.openxmlformats.org/markup-compatibility/2006">
          <mc:Choice Requires="x14">
            <control shapeId="1163" r:id="rId142" name="Button 139">
              <controlPr defaultSize="0" autoFill="0" autoLine="0" autoPict="0" macro="[1]!Sheet1.deleteRow">
                <anchor moveWithCells="1" sizeWithCells="1">
                  <from>
                    <xdr:col>6</xdr:col>
                    <xdr:colOff>0</xdr:colOff>
                    <xdr:row>382</xdr:row>
                    <xdr:rowOff>0</xdr:rowOff>
                  </from>
                  <to>
                    <xdr:col>7</xdr:col>
                    <xdr:colOff>0</xdr:colOff>
                    <xdr:row>382</xdr:row>
                    <xdr:rowOff>133350</xdr:rowOff>
                  </to>
                </anchor>
              </controlPr>
            </control>
          </mc:Choice>
        </mc:AlternateContent>
        <mc:AlternateContent xmlns:mc="http://schemas.openxmlformats.org/markup-compatibility/2006">
          <mc:Choice Requires="x14">
            <control shapeId="1164" r:id="rId143" name="Button 140">
              <controlPr defaultSize="0" autoFill="0" autoLine="0" autoPict="0" macro="[1]!Sheet1.deleteRow">
                <anchor moveWithCells="1" sizeWithCells="1">
                  <from>
                    <xdr:col>6</xdr:col>
                    <xdr:colOff>0</xdr:colOff>
                    <xdr:row>383</xdr:row>
                    <xdr:rowOff>0</xdr:rowOff>
                  </from>
                  <to>
                    <xdr:col>7</xdr:col>
                    <xdr:colOff>0</xdr:colOff>
                    <xdr:row>383</xdr:row>
                    <xdr:rowOff>133350</xdr:rowOff>
                  </to>
                </anchor>
              </controlPr>
            </control>
          </mc:Choice>
        </mc:AlternateContent>
        <mc:AlternateContent xmlns:mc="http://schemas.openxmlformats.org/markup-compatibility/2006">
          <mc:Choice Requires="x14">
            <control shapeId="1165" r:id="rId144" name="Button 141">
              <controlPr defaultSize="0" autoFill="0" autoLine="0" autoPict="0" macro="[1]!Sheet1.deleteRow">
                <anchor moveWithCells="1" sizeWithCells="1">
                  <from>
                    <xdr:col>6</xdr:col>
                    <xdr:colOff>0</xdr:colOff>
                    <xdr:row>384</xdr:row>
                    <xdr:rowOff>0</xdr:rowOff>
                  </from>
                  <to>
                    <xdr:col>7</xdr:col>
                    <xdr:colOff>0</xdr:colOff>
                    <xdr:row>384</xdr:row>
                    <xdr:rowOff>133350</xdr:rowOff>
                  </to>
                </anchor>
              </controlPr>
            </control>
          </mc:Choice>
        </mc:AlternateContent>
        <mc:AlternateContent xmlns:mc="http://schemas.openxmlformats.org/markup-compatibility/2006">
          <mc:Choice Requires="x14">
            <control shapeId="1166" r:id="rId145" name="Button 142">
              <controlPr defaultSize="0" autoFill="0" autoLine="0" autoPict="0" macro="[1]!Sheet1.deleteRow">
                <anchor moveWithCells="1" sizeWithCells="1">
                  <from>
                    <xdr:col>6</xdr:col>
                    <xdr:colOff>0</xdr:colOff>
                    <xdr:row>385</xdr:row>
                    <xdr:rowOff>0</xdr:rowOff>
                  </from>
                  <to>
                    <xdr:col>7</xdr:col>
                    <xdr:colOff>0</xdr:colOff>
                    <xdr:row>385</xdr:row>
                    <xdr:rowOff>133350</xdr:rowOff>
                  </to>
                </anchor>
              </controlPr>
            </control>
          </mc:Choice>
        </mc:AlternateContent>
        <mc:AlternateContent xmlns:mc="http://schemas.openxmlformats.org/markup-compatibility/2006">
          <mc:Choice Requires="x14">
            <control shapeId="1167" r:id="rId146" name="Button 143">
              <controlPr defaultSize="0" autoFill="0" autoLine="0" autoPict="0" macro="[1]!Sheet1.deleteRow">
                <anchor moveWithCells="1" sizeWithCells="1">
                  <from>
                    <xdr:col>6</xdr:col>
                    <xdr:colOff>0</xdr:colOff>
                    <xdr:row>386</xdr:row>
                    <xdr:rowOff>0</xdr:rowOff>
                  </from>
                  <to>
                    <xdr:col>7</xdr:col>
                    <xdr:colOff>0</xdr:colOff>
                    <xdr:row>386</xdr:row>
                    <xdr:rowOff>133350</xdr:rowOff>
                  </to>
                </anchor>
              </controlPr>
            </control>
          </mc:Choice>
        </mc:AlternateContent>
        <mc:AlternateContent xmlns:mc="http://schemas.openxmlformats.org/markup-compatibility/2006">
          <mc:Choice Requires="x14">
            <control shapeId="1168" r:id="rId147" name="Button 144">
              <controlPr defaultSize="0" autoFill="0" autoLine="0" autoPict="0" macro="[1]!Sheet1.deleteRow">
                <anchor moveWithCells="1" sizeWithCells="1">
                  <from>
                    <xdr:col>6</xdr:col>
                    <xdr:colOff>0</xdr:colOff>
                    <xdr:row>387</xdr:row>
                    <xdr:rowOff>0</xdr:rowOff>
                  </from>
                  <to>
                    <xdr:col>7</xdr:col>
                    <xdr:colOff>0</xdr:colOff>
                    <xdr:row>387</xdr:row>
                    <xdr:rowOff>133350</xdr:rowOff>
                  </to>
                </anchor>
              </controlPr>
            </control>
          </mc:Choice>
        </mc:AlternateContent>
        <mc:AlternateContent xmlns:mc="http://schemas.openxmlformats.org/markup-compatibility/2006">
          <mc:Choice Requires="x14">
            <control shapeId="1169" r:id="rId148" name="Button 145">
              <controlPr defaultSize="0" autoFill="0" autoLine="0" autoPict="0" macro="[1]!Sheet1.deleteRow">
                <anchor moveWithCells="1" sizeWithCells="1">
                  <from>
                    <xdr:col>6</xdr:col>
                    <xdr:colOff>0</xdr:colOff>
                    <xdr:row>388</xdr:row>
                    <xdr:rowOff>0</xdr:rowOff>
                  </from>
                  <to>
                    <xdr:col>7</xdr:col>
                    <xdr:colOff>0</xdr:colOff>
                    <xdr:row>388</xdr:row>
                    <xdr:rowOff>133350</xdr:rowOff>
                  </to>
                </anchor>
              </controlPr>
            </control>
          </mc:Choice>
        </mc:AlternateContent>
        <mc:AlternateContent xmlns:mc="http://schemas.openxmlformats.org/markup-compatibility/2006">
          <mc:Choice Requires="x14">
            <control shapeId="1170" r:id="rId149" name="Button 146">
              <controlPr defaultSize="0" autoFill="0" autoLine="0" autoPict="0" macro="[1]!Sheet1.deleteRow">
                <anchor moveWithCells="1" sizeWithCells="1">
                  <from>
                    <xdr:col>6</xdr:col>
                    <xdr:colOff>0</xdr:colOff>
                    <xdr:row>389</xdr:row>
                    <xdr:rowOff>0</xdr:rowOff>
                  </from>
                  <to>
                    <xdr:col>7</xdr:col>
                    <xdr:colOff>0</xdr:colOff>
                    <xdr:row>389</xdr:row>
                    <xdr:rowOff>133350</xdr:rowOff>
                  </to>
                </anchor>
              </controlPr>
            </control>
          </mc:Choice>
        </mc:AlternateContent>
        <mc:AlternateContent xmlns:mc="http://schemas.openxmlformats.org/markup-compatibility/2006">
          <mc:Choice Requires="x14">
            <control shapeId="1171" r:id="rId150" name="Button 147">
              <controlPr defaultSize="0" autoFill="0" autoLine="0" autoPict="0" macro="[1]!Sheet1.deleteProcedure">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172" r:id="rId151" name="Button 148">
              <controlPr defaultSize="0" autoFill="0" autoLine="0" autoPict="0" macro="[1]!Sheet1.InsertNewTabl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173" r:id="rId152" name="Button 149">
              <controlPr defaultSize="0" autoFill="0" autoLine="0" autoPict="0" macro="[1]!Sheet1.deleteRow">
                <anchor moveWithCells="1" sizeWithCells="1">
                  <from>
                    <xdr:col>6</xdr:col>
                    <xdr:colOff>0</xdr:colOff>
                    <xdr:row>400</xdr:row>
                    <xdr:rowOff>0</xdr:rowOff>
                  </from>
                  <to>
                    <xdr:col>7</xdr:col>
                    <xdr:colOff>0</xdr:colOff>
                    <xdr:row>400</xdr:row>
                    <xdr:rowOff>133350</xdr:rowOff>
                  </to>
                </anchor>
              </controlPr>
            </control>
          </mc:Choice>
        </mc:AlternateContent>
        <mc:AlternateContent xmlns:mc="http://schemas.openxmlformats.org/markup-compatibility/2006">
          <mc:Choice Requires="x14">
            <control shapeId="1174" r:id="rId153" name="Button 150">
              <controlPr defaultSize="0" autoFill="0" autoLine="0" autoPict="0" macro="[1]!Sheet1.deleteRow">
                <anchor moveWithCells="1" sizeWithCells="1">
                  <from>
                    <xdr:col>6</xdr:col>
                    <xdr:colOff>0</xdr:colOff>
                    <xdr:row>401</xdr:row>
                    <xdr:rowOff>0</xdr:rowOff>
                  </from>
                  <to>
                    <xdr:col>7</xdr:col>
                    <xdr:colOff>0</xdr:colOff>
                    <xdr:row>401</xdr:row>
                    <xdr:rowOff>133350</xdr:rowOff>
                  </to>
                </anchor>
              </controlPr>
            </control>
          </mc:Choice>
        </mc:AlternateContent>
        <mc:AlternateContent xmlns:mc="http://schemas.openxmlformats.org/markup-compatibility/2006">
          <mc:Choice Requires="x14">
            <control shapeId="1175" r:id="rId154" name="Button 151">
              <controlPr defaultSize="0" autoFill="0" autoLine="0" autoPict="0" macro="[1]!Sheet1.deleteRow">
                <anchor moveWithCells="1" sizeWithCells="1">
                  <from>
                    <xdr:col>6</xdr:col>
                    <xdr:colOff>0</xdr:colOff>
                    <xdr:row>402</xdr:row>
                    <xdr:rowOff>0</xdr:rowOff>
                  </from>
                  <to>
                    <xdr:col>7</xdr:col>
                    <xdr:colOff>0</xdr:colOff>
                    <xdr:row>402</xdr:row>
                    <xdr:rowOff>133350</xdr:rowOff>
                  </to>
                </anchor>
              </controlPr>
            </control>
          </mc:Choice>
        </mc:AlternateContent>
        <mc:AlternateContent xmlns:mc="http://schemas.openxmlformats.org/markup-compatibility/2006">
          <mc:Choice Requires="x14">
            <control shapeId="1176" r:id="rId155" name="Button 152">
              <controlPr defaultSize="0" autoFill="0" autoLine="0" autoPict="0" macro="[1]!Sheet1.deleteRow">
                <anchor moveWithCells="1" sizeWithCells="1">
                  <from>
                    <xdr:col>6</xdr:col>
                    <xdr:colOff>0</xdr:colOff>
                    <xdr:row>403</xdr:row>
                    <xdr:rowOff>0</xdr:rowOff>
                  </from>
                  <to>
                    <xdr:col>7</xdr:col>
                    <xdr:colOff>0</xdr:colOff>
                    <xdr:row>403</xdr:row>
                    <xdr:rowOff>133350</xdr:rowOff>
                  </to>
                </anchor>
              </controlPr>
            </control>
          </mc:Choice>
        </mc:AlternateContent>
        <mc:AlternateContent xmlns:mc="http://schemas.openxmlformats.org/markup-compatibility/2006">
          <mc:Choice Requires="x14">
            <control shapeId="1177" r:id="rId156" name="Button 153">
              <controlPr defaultSize="0" autoFill="0" autoLine="0" autoPict="0" macro="[1]!Sheet1.deleteRow">
                <anchor moveWithCells="1" sizeWithCells="1">
                  <from>
                    <xdr:col>6</xdr:col>
                    <xdr:colOff>0</xdr:colOff>
                    <xdr:row>404</xdr:row>
                    <xdr:rowOff>0</xdr:rowOff>
                  </from>
                  <to>
                    <xdr:col>7</xdr:col>
                    <xdr:colOff>0</xdr:colOff>
                    <xdr:row>404</xdr:row>
                    <xdr:rowOff>133350</xdr:rowOff>
                  </to>
                </anchor>
              </controlPr>
            </control>
          </mc:Choice>
        </mc:AlternateContent>
        <mc:AlternateContent xmlns:mc="http://schemas.openxmlformats.org/markup-compatibility/2006">
          <mc:Choice Requires="x14">
            <control shapeId="1178" r:id="rId157" name="Button 154">
              <controlPr defaultSize="0" autoFill="0" autoLine="0" autoPict="0" macro="[1]!Sheet1.deleteRow">
                <anchor moveWithCells="1" sizeWithCells="1">
                  <from>
                    <xdr:col>6</xdr:col>
                    <xdr:colOff>0</xdr:colOff>
                    <xdr:row>405</xdr:row>
                    <xdr:rowOff>0</xdr:rowOff>
                  </from>
                  <to>
                    <xdr:col>7</xdr:col>
                    <xdr:colOff>0</xdr:colOff>
                    <xdr:row>405</xdr:row>
                    <xdr:rowOff>133350</xdr:rowOff>
                  </to>
                </anchor>
              </controlPr>
            </control>
          </mc:Choice>
        </mc:AlternateContent>
        <mc:AlternateContent xmlns:mc="http://schemas.openxmlformats.org/markup-compatibility/2006">
          <mc:Choice Requires="x14">
            <control shapeId="1179" r:id="rId158" name="Button 155">
              <controlPr defaultSize="0" autoFill="0" autoLine="0" autoPict="0" macro="[1]!Sheet1.deleteRow">
                <anchor moveWithCells="1" sizeWithCells="1">
                  <from>
                    <xdr:col>6</xdr:col>
                    <xdr:colOff>0</xdr:colOff>
                    <xdr:row>406</xdr:row>
                    <xdr:rowOff>0</xdr:rowOff>
                  </from>
                  <to>
                    <xdr:col>7</xdr:col>
                    <xdr:colOff>0</xdr:colOff>
                    <xdr:row>406</xdr:row>
                    <xdr:rowOff>133350</xdr:rowOff>
                  </to>
                </anchor>
              </controlPr>
            </control>
          </mc:Choice>
        </mc:AlternateContent>
        <mc:AlternateContent xmlns:mc="http://schemas.openxmlformats.org/markup-compatibility/2006">
          <mc:Choice Requires="x14">
            <control shapeId="1180" r:id="rId159" name="Button 156">
              <controlPr defaultSize="0" autoFill="0" autoLine="0" autoPict="0" macro="[1]!Sheet1.deleteRow">
                <anchor moveWithCells="1" sizeWithCells="1">
                  <from>
                    <xdr:col>6</xdr:col>
                    <xdr:colOff>0</xdr:colOff>
                    <xdr:row>407</xdr:row>
                    <xdr:rowOff>0</xdr:rowOff>
                  </from>
                  <to>
                    <xdr:col>7</xdr:col>
                    <xdr:colOff>0</xdr:colOff>
                    <xdr:row>407</xdr:row>
                    <xdr:rowOff>133350</xdr:rowOff>
                  </to>
                </anchor>
              </controlPr>
            </control>
          </mc:Choice>
        </mc:AlternateContent>
        <mc:AlternateContent xmlns:mc="http://schemas.openxmlformats.org/markup-compatibility/2006">
          <mc:Choice Requires="x14">
            <control shapeId="1181" r:id="rId160" name="Button 157">
              <controlPr defaultSize="0" autoFill="0" autoLine="0" autoPict="0" macro="[1]!Sheet1.deleteRow">
                <anchor moveWithCells="1" sizeWithCells="1">
                  <from>
                    <xdr:col>6</xdr:col>
                    <xdr:colOff>0</xdr:colOff>
                    <xdr:row>408</xdr:row>
                    <xdr:rowOff>0</xdr:rowOff>
                  </from>
                  <to>
                    <xdr:col>7</xdr:col>
                    <xdr:colOff>0</xdr:colOff>
                    <xdr:row>408</xdr:row>
                    <xdr:rowOff>133350</xdr:rowOff>
                  </to>
                </anchor>
              </controlPr>
            </control>
          </mc:Choice>
        </mc:AlternateContent>
        <mc:AlternateContent xmlns:mc="http://schemas.openxmlformats.org/markup-compatibility/2006">
          <mc:Choice Requires="x14">
            <control shapeId="1182" r:id="rId161" name="Button 158">
              <controlPr defaultSize="0" autoFill="0" autoLine="0" autoPict="0" macro="[1]!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183" r:id="rId162" name="Button 159">
              <controlPr defaultSize="0" autoFill="0" autoLine="0" autoPict="0" macro="[1]!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184" r:id="rId163" name="Button 160">
              <controlPr defaultSize="0" autoFill="0" autoLine="0" autoPict="0" macro="[1]!Sheet1.deleteRow">
                <anchor moveWithCells="1" sizeWithCells="1">
                  <from>
                    <xdr:col>6</xdr:col>
                    <xdr:colOff>0</xdr:colOff>
                    <xdr:row>419</xdr:row>
                    <xdr:rowOff>0</xdr:rowOff>
                  </from>
                  <to>
                    <xdr:col>7</xdr:col>
                    <xdr:colOff>0</xdr:colOff>
                    <xdr:row>419</xdr:row>
                    <xdr:rowOff>133350</xdr:rowOff>
                  </to>
                </anchor>
              </controlPr>
            </control>
          </mc:Choice>
        </mc:AlternateContent>
        <mc:AlternateContent xmlns:mc="http://schemas.openxmlformats.org/markup-compatibility/2006">
          <mc:Choice Requires="x14">
            <control shapeId="1185" r:id="rId164" name="Button 161">
              <controlPr defaultSize="0" autoFill="0" autoLine="0" autoPict="0" macro="[1]!Sheet1.deleteRow">
                <anchor moveWithCells="1" sizeWithCells="1">
                  <from>
                    <xdr:col>6</xdr:col>
                    <xdr:colOff>0</xdr:colOff>
                    <xdr:row>420</xdr:row>
                    <xdr:rowOff>0</xdr:rowOff>
                  </from>
                  <to>
                    <xdr:col>7</xdr:col>
                    <xdr:colOff>0</xdr:colOff>
                    <xdr:row>420</xdr:row>
                    <xdr:rowOff>133350</xdr:rowOff>
                  </to>
                </anchor>
              </controlPr>
            </control>
          </mc:Choice>
        </mc:AlternateContent>
        <mc:AlternateContent xmlns:mc="http://schemas.openxmlformats.org/markup-compatibility/2006">
          <mc:Choice Requires="x14">
            <control shapeId="1186" r:id="rId165" name="Button 162">
              <controlPr defaultSize="0" autoFill="0" autoLine="0" autoPict="0" macro="[1]!Sheet1.deleteRow">
                <anchor moveWithCells="1" sizeWithCells="1">
                  <from>
                    <xdr:col>6</xdr:col>
                    <xdr:colOff>0</xdr:colOff>
                    <xdr:row>421</xdr:row>
                    <xdr:rowOff>0</xdr:rowOff>
                  </from>
                  <to>
                    <xdr:col>7</xdr:col>
                    <xdr:colOff>0</xdr:colOff>
                    <xdr:row>421</xdr:row>
                    <xdr:rowOff>133350</xdr:rowOff>
                  </to>
                </anchor>
              </controlPr>
            </control>
          </mc:Choice>
        </mc:AlternateContent>
        <mc:AlternateContent xmlns:mc="http://schemas.openxmlformats.org/markup-compatibility/2006">
          <mc:Choice Requires="x14">
            <control shapeId="1187" r:id="rId166" name="Button 163">
              <controlPr defaultSize="0" autoFill="0" autoLine="0" autoPict="0" macro="[1]!Sheet1.deleteRow">
                <anchor moveWithCells="1" sizeWithCells="1">
                  <from>
                    <xdr:col>6</xdr:col>
                    <xdr:colOff>0</xdr:colOff>
                    <xdr:row>422</xdr:row>
                    <xdr:rowOff>0</xdr:rowOff>
                  </from>
                  <to>
                    <xdr:col>7</xdr:col>
                    <xdr:colOff>0</xdr:colOff>
                    <xdr:row>422</xdr:row>
                    <xdr:rowOff>133350</xdr:rowOff>
                  </to>
                </anchor>
              </controlPr>
            </control>
          </mc:Choice>
        </mc:AlternateContent>
        <mc:AlternateContent xmlns:mc="http://schemas.openxmlformats.org/markup-compatibility/2006">
          <mc:Choice Requires="x14">
            <control shapeId="1188" r:id="rId167" name="Button 164">
              <controlPr defaultSize="0" autoFill="0" autoLine="0" autoPict="0" macro="[1]!Sheet1.deleteRow">
                <anchor moveWithCells="1" sizeWithCells="1">
                  <from>
                    <xdr:col>6</xdr:col>
                    <xdr:colOff>0</xdr:colOff>
                    <xdr:row>423</xdr:row>
                    <xdr:rowOff>0</xdr:rowOff>
                  </from>
                  <to>
                    <xdr:col>7</xdr:col>
                    <xdr:colOff>0</xdr:colOff>
                    <xdr:row>423</xdr:row>
                    <xdr:rowOff>133350</xdr:rowOff>
                  </to>
                </anchor>
              </controlPr>
            </control>
          </mc:Choice>
        </mc:AlternateContent>
        <mc:AlternateContent xmlns:mc="http://schemas.openxmlformats.org/markup-compatibility/2006">
          <mc:Choice Requires="x14">
            <control shapeId="1189" r:id="rId168" name="Button 165">
              <controlPr defaultSize="0" autoFill="0" autoLine="0" autoPict="0" macro="[1]!Sheet1.deleteRow">
                <anchor moveWithCells="1" sizeWithCells="1">
                  <from>
                    <xdr:col>6</xdr:col>
                    <xdr:colOff>0</xdr:colOff>
                    <xdr:row>424</xdr:row>
                    <xdr:rowOff>0</xdr:rowOff>
                  </from>
                  <to>
                    <xdr:col>7</xdr:col>
                    <xdr:colOff>0</xdr:colOff>
                    <xdr:row>424</xdr:row>
                    <xdr:rowOff>133350</xdr:rowOff>
                  </to>
                </anchor>
              </controlPr>
            </control>
          </mc:Choice>
        </mc:AlternateContent>
        <mc:AlternateContent xmlns:mc="http://schemas.openxmlformats.org/markup-compatibility/2006">
          <mc:Choice Requires="x14">
            <control shapeId="1190" r:id="rId169" name="Button 166">
              <controlPr defaultSize="0" autoFill="0" autoLine="0" autoPict="0" macro="[1]!Sheet1.deleteRow">
                <anchor moveWithCells="1" sizeWithCells="1">
                  <from>
                    <xdr:col>6</xdr:col>
                    <xdr:colOff>0</xdr:colOff>
                    <xdr:row>425</xdr:row>
                    <xdr:rowOff>0</xdr:rowOff>
                  </from>
                  <to>
                    <xdr:col>7</xdr:col>
                    <xdr:colOff>0</xdr:colOff>
                    <xdr:row>425</xdr:row>
                    <xdr:rowOff>133350</xdr:rowOff>
                  </to>
                </anchor>
              </controlPr>
            </control>
          </mc:Choice>
        </mc:AlternateContent>
        <mc:AlternateContent xmlns:mc="http://schemas.openxmlformats.org/markup-compatibility/2006">
          <mc:Choice Requires="x14">
            <control shapeId="1191" r:id="rId170" name="Button 167">
              <controlPr defaultSize="0" autoFill="0" autoLine="0" autoPict="0" macro="[1]!Sheet1.deleteRow">
                <anchor moveWithCells="1" sizeWithCells="1">
                  <from>
                    <xdr:col>6</xdr:col>
                    <xdr:colOff>0</xdr:colOff>
                    <xdr:row>426</xdr:row>
                    <xdr:rowOff>0</xdr:rowOff>
                  </from>
                  <to>
                    <xdr:col>7</xdr:col>
                    <xdr:colOff>0</xdr:colOff>
                    <xdr:row>426</xdr:row>
                    <xdr:rowOff>133350</xdr:rowOff>
                  </to>
                </anchor>
              </controlPr>
            </control>
          </mc:Choice>
        </mc:AlternateContent>
        <mc:AlternateContent xmlns:mc="http://schemas.openxmlformats.org/markup-compatibility/2006">
          <mc:Choice Requires="x14">
            <control shapeId="1192" r:id="rId171" name="Button 168">
              <controlPr defaultSize="0" autoFill="0" autoLine="0" autoPict="0" macro="[1]!Sheet1.deleteRow">
                <anchor moveWithCells="1" sizeWithCells="1">
                  <from>
                    <xdr:col>6</xdr:col>
                    <xdr:colOff>0</xdr:colOff>
                    <xdr:row>427</xdr:row>
                    <xdr:rowOff>0</xdr:rowOff>
                  </from>
                  <to>
                    <xdr:col>7</xdr:col>
                    <xdr:colOff>0</xdr:colOff>
                    <xdr:row>427</xdr:row>
                    <xdr:rowOff>133350</xdr:rowOff>
                  </to>
                </anchor>
              </controlPr>
            </control>
          </mc:Choice>
        </mc:AlternateContent>
        <mc:AlternateContent xmlns:mc="http://schemas.openxmlformats.org/markup-compatibility/2006">
          <mc:Choice Requires="x14">
            <control shapeId="1193" r:id="rId172" name="Button 169">
              <controlPr defaultSize="0" autoFill="0" autoLine="0" autoPict="0" macro="[1]!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194" r:id="rId173" name="Button 170">
              <controlPr defaultSize="0" autoFill="0" autoLine="0" autoPict="0" macro="[1]!Sheet1.InsertNewTabl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195" r:id="rId174" name="Button 171">
              <controlPr defaultSize="0" autoFill="0" autoLine="0" autoPict="0" macro="[1]!Sheet1.deleteRow">
                <anchor moveWithCells="1" sizeWithCells="1">
                  <from>
                    <xdr:col>6</xdr:col>
                    <xdr:colOff>0</xdr:colOff>
                    <xdr:row>438</xdr:row>
                    <xdr:rowOff>0</xdr:rowOff>
                  </from>
                  <to>
                    <xdr:col>7</xdr:col>
                    <xdr:colOff>0</xdr:colOff>
                    <xdr:row>438</xdr:row>
                    <xdr:rowOff>133350</xdr:rowOff>
                  </to>
                </anchor>
              </controlPr>
            </control>
          </mc:Choice>
        </mc:AlternateContent>
        <mc:AlternateContent xmlns:mc="http://schemas.openxmlformats.org/markup-compatibility/2006">
          <mc:Choice Requires="x14">
            <control shapeId="1196" r:id="rId175" name="Button 172">
              <controlPr defaultSize="0" autoFill="0" autoLine="0" autoPict="0" macro="[1]!Sheet1.deleteRow">
                <anchor moveWithCells="1" sizeWithCells="1">
                  <from>
                    <xdr:col>6</xdr:col>
                    <xdr:colOff>0</xdr:colOff>
                    <xdr:row>439</xdr:row>
                    <xdr:rowOff>0</xdr:rowOff>
                  </from>
                  <to>
                    <xdr:col>7</xdr:col>
                    <xdr:colOff>0</xdr:colOff>
                    <xdr:row>439</xdr:row>
                    <xdr:rowOff>133350</xdr:rowOff>
                  </to>
                </anchor>
              </controlPr>
            </control>
          </mc:Choice>
        </mc:AlternateContent>
        <mc:AlternateContent xmlns:mc="http://schemas.openxmlformats.org/markup-compatibility/2006">
          <mc:Choice Requires="x14">
            <control shapeId="1197" r:id="rId176" name="Button 173">
              <controlPr defaultSize="0" autoFill="0" autoLine="0" autoPict="0" macro="[1]!Sheet1.deleteRow">
                <anchor moveWithCells="1" sizeWithCells="1">
                  <from>
                    <xdr:col>6</xdr:col>
                    <xdr:colOff>0</xdr:colOff>
                    <xdr:row>440</xdr:row>
                    <xdr:rowOff>0</xdr:rowOff>
                  </from>
                  <to>
                    <xdr:col>7</xdr:col>
                    <xdr:colOff>0</xdr:colOff>
                    <xdr:row>440</xdr:row>
                    <xdr:rowOff>133350</xdr:rowOff>
                  </to>
                </anchor>
              </controlPr>
            </control>
          </mc:Choice>
        </mc:AlternateContent>
        <mc:AlternateContent xmlns:mc="http://schemas.openxmlformats.org/markup-compatibility/2006">
          <mc:Choice Requires="x14">
            <control shapeId="1198" r:id="rId177" name="Button 174">
              <controlPr defaultSize="0" autoFill="0" autoLine="0" autoPict="0" macro="[1]!Sheet1.deleteRow">
                <anchor moveWithCells="1" sizeWithCells="1">
                  <from>
                    <xdr:col>6</xdr:col>
                    <xdr:colOff>0</xdr:colOff>
                    <xdr:row>441</xdr:row>
                    <xdr:rowOff>0</xdr:rowOff>
                  </from>
                  <to>
                    <xdr:col>7</xdr:col>
                    <xdr:colOff>0</xdr:colOff>
                    <xdr:row>441</xdr:row>
                    <xdr:rowOff>133350</xdr:rowOff>
                  </to>
                </anchor>
              </controlPr>
            </control>
          </mc:Choice>
        </mc:AlternateContent>
        <mc:AlternateContent xmlns:mc="http://schemas.openxmlformats.org/markup-compatibility/2006">
          <mc:Choice Requires="x14">
            <control shapeId="1199" r:id="rId178" name="Button 175">
              <controlPr defaultSize="0" autoFill="0" autoLine="0" autoPict="0" macro="[1]!Sheet1.deleteRow">
                <anchor moveWithCells="1" sizeWithCells="1">
                  <from>
                    <xdr:col>6</xdr:col>
                    <xdr:colOff>0</xdr:colOff>
                    <xdr:row>442</xdr:row>
                    <xdr:rowOff>0</xdr:rowOff>
                  </from>
                  <to>
                    <xdr:col>7</xdr:col>
                    <xdr:colOff>0</xdr:colOff>
                    <xdr:row>442</xdr:row>
                    <xdr:rowOff>133350</xdr:rowOff>
                  </to>
                </anchor>
              </controlPr>
            </control>
          </mc:Choice>
        </mc:AlternateContent>
        <mc:AlternateContent xmlns:mc="http://schemas.openxmlformats.org/markup-compatibility/2006">
          <mc:Choice Requires="x14">
            <control shapeId="1200" r:id="rId179" name="Button 176">
              <controlPr defaultSize="0" autoFill="0" autoLine="0" autoPict="0" macro="[1]!Sheet1.deleteRow">
                <anchor moveWithCells="1" sizeWithCells="1">
                  <from>
                    <xdr:col>6</xdr:col>
                    <xdr:colOff>0</xdr:colOff>
                    <xdr:row>443</xdr:row>
                    <xdr:rowOff>0</xdr:rowOff>
                  </from>
                  <to>
                    <xdr:col>7</xdr:col>
                    <xdr:colOff>0</xdr:colOff>
                    <xdr:row>443</xdr:row>
                    <xdr:rowOff>133350</xdr:rowOff>
                  </to>
                </anchor>
              </controlPr>
            </control>
          </mc:Choice>
        </mc:AlternateContent>
        <mc:AlternateContent xmlns:mc="http://schemas.openxmlformats.org/markup-compatibility/2006">
          <mc:Choice Requires="x14">
            <control shapeId="1201" r:id="rId180" name="Button 177">
              <controlPr defaultSize="0" autoFill="0" autoLine="0" autoPict="0" macro="[1]!Sheet1.deleteRow">
                <anchor moveWithCells="1" sizeWithCells="1">
                  <from>
                    <xdr:col>6</xdr:col>
                    <xdr:colOff>0</xdr:colOff>
                    <xdr:row>444</xdr:row>
                    <xdr:rowOff>0</xdr:rowOff>
                  </from>
                  <to>
                    <xdr:col>7</xdr:col>
                    <xdr:colOff>0</xdr:colOff>
                    <xdr:row>444</xdr:row>
                    <xdr:rowOff>133350</xdr:rowOff>
                  </to>
                </anchor>
              </controlPr>
            </control>
          </mc:Choice>
        </mc:AlternateContent>
        <mc:AlternateContent xmlns:mc="http://schemas.openxmlformats.org/markup-compatibility/2006">
          <mc:Choice Requires="x14">
            <control shapeId="1202" r:id="rId181" name="Button 178">
              <controlPr defaultSize="0" autoFill="0" autoLine="0" autoPict="0" macro="[1]!Sheet1.deleteRow">
                <anchor moveWithCells="1" sizeWithCells="1">
                  <from>
                    <xdr:col>6</xdr:col>
                    <xdr:colOff>0</xdr:colOff>
                    <xdr:row>445</xdr:row>
                    <xdr:rowOff>0</xdr:rowOff>
                  </from>
                  <to>
                    <xdr:col>7</xdr:col>
                    <xdr:colOff>0</xdr:colOff>
                    <xdr:row>445</xdr:row>
                    <xdr:rowOff>133350</xdr:rowOff>
                  </to>
                </anchor>
              </controlPr>
            </control>
          </mc:Choice>
        </mc:AlternateContent>
        <mc:AlternateContent xmlns:mc="http://schemas.openxmlformats.org/markup-compatibility/2006">
          <mc:Choice Requires="x14">
            <control shapeId="1203" r:id="rId182" name="Button 179">
              <controlPr defaultSize="0" autoFill="0" autoLine="0" autoPict="0" macro="[1]!Sheet1.deleteRow">
                <anchor moveWithCells="1" sizeWithCells="1">
                  <from>
                    <xdr:col>6</xdr:col>
                    <xdr:colOff>0</xdr:colOff>
                    <xdr:row>446</xdr:row>
                    <xdr:rowOff>0</xdr:rowOff>
                  </from>
                  <to>
                    <xdr:col>7</xdr:col>
                    <xdr:colOff>0</xdr:colOff>
                    <xdr:row>446</xdr:row>
                    <xdr:rowOff>133350</xdr:rowOff>
                  </to>
                </anchor>
              </controlPr>
            </control>
          </mc:Choice>
        </mc:AlternateContent>
        <mc:AlternateContent xmlns:mc="http://schemas.openxmlformats.org/markup-compatibility/2006">
          <mc:Choice Requires="x14">
            <control shapeId="1204" r:id="rId183" name="Button 180">
              <controlPr defaultSize="0" autoFill="0" autoLine="0" autoPict="0" macro="[1]!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05" r:id="rId184" name="Button 181">
              <controlPr defaultSize="0" autoFill="0" autoLine="0" autoPict="0" macro="[1]!Sheet1.InsertNewTabl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06" r:id="rId185" name="Button 182">
              <controlPr defaultSize="0" autoFill="0" autoLine="0" autoPict="0" macro="[1]!Sheet1.deleteRow">
                <anchor moveWithCells="1" sizeWithCells="1">
                  <from>
                    <xdr:col>6</xdr:col>
                    <xdr:colOff>0</xdr:colOff>
                    <xdr:row>457</xdr:row>
                    <xdr:rowOff>0</xdr:rowOff>
                  </from>
                  <to>
                    <xdr:col>7</xdr:col>
                    <xdr:colOff>0</xdr:colOff>
                    <xdr:row>457</xdr:row>
                    <xdr:rowOff>133350</xdr:rowOff>
                  </to>
                </anchor>
              </controlPr>
            </control>
          </mc:Choice>
        </mc:AlternateContent>
        <mc:AlternateContent xmlns:mc="http://schemas.openxmlformats.org/markup-compatibility/2006">
          <mc:Choice Requires="x14">
            <control shapeId="1207" r:id="rId186" name="Button 183">
              <controlPr defaultSize="0" autoFill="0" autoLine="0" autoPict="0" macro="[1]!Sheet1.deleteRow">
                <anchor moveWithCells="1" sizeWithCells="1">
                  <from>
                    <xdr:col>6</xdr:col>
                    <xdr:colOff>0</xdr:colOff>
                    <xdr:row>458</xdr:row>
                    <xdr:rowOff>0</xdr:rowOff>
                  </from>
                  <to>
                    <xdr:col>7</xdr:col>
                    <xdr:colOff>0</xdr:colOff>
                    <xdr:row>458</xdr:row>
                    <xdr:rowOff>133350</xdr:rowOff>
                  </to>
                </anchor>
              </controlPr>
            </control>
          </mc:Choice>
        </mc:AlternateContent>
        <mc:AlternateContent xmlns:mc="http://schemas.openxmlformats.org/markup-compatibility/2006">
          <mc:Choice Requires="x14">
            <control shapeId="1208" r:id="rId187" name="Button 184">
              <controlPr defaultSize="0" autoFill="0" autoLine="0" autoPict="0" macro="[1]!Sheet1.deleteRow">
                <anchor moveWithCells="1" sizeWithCells="1">
                  <from>
                    <xdr:col>6</xdr:col>
                    <xdr:colOff>0</xdr:colOff>
                    <xdr:row>459</xdr:row>
                    <xdr:rowOff>0</xdr:rowOff>
                  </from>
                  <to>
                    <xdr:col>7</xdr:col>
                    <xdr:colOff>0</xdr:colOff>
                    <xdr:row>459</xdr:row>
                    <xdr:rowOff>133350</xdr:rowOff>
                  </to>
                </anchor>
              </controlPr>
            </control>
          </mc:Choice>
        </mc:AlternateContent>
        <mc:AlternateContent xmlns:mc="http://schemas.openxmlformats.org/markup-compatibility/2006">
          <mc:Choice Requires="x14">
            <control shapeId="1209" r:id="rId188" name="Button 185">
              <controlPr defaultSize="0" autoFill="0" autoLine="0" autoPict="0" macro="[1]!Sheet1.deleteProcedure">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10" r:id="rId189" name="Button 186">
              <controlPr defaultSize="0" autoFill="0" autoLine="0" autoPict="0" macro="[1]!Sheet1.InsertNewTabl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211" r:id="rId190" name="Button 187">
              <controlPr defaultSize="0" autoFill="0" autoLine="0" autoPict="0" macro="[1]!Sheet1.deleteRow">
                <anchor moveWithCells="1" sizeWithCells="1">
                  <from>
                    <xdr:col>6</xdr:col>
                    <xdr:colOff>0</xdr:colOff>
                    <xdr:row>470</xdr:row>
                    <xdr:rowOff>0</xdr:rowOff>
                  </from>
                  <to>
                    <xdr:col>7</xdr:col>
                    <xdr:colOff>0</xdr:colOff>
                    <xdr:row>470</xdr:row>
                    <xdr:rowOff>133350</xdr:rowOff>
                  </to>
                </anchor>
              </controlPr>
            </control>
          </mc:Choice>
        </mc:AlternateContent>
        <mc:AlternateContent xmlns:mc="http://schemas.openxmlformats.org/markup-compatibility/2006">
          <mc:Choice Requires="x14">
            <control shapeId="1212" r:id="rId191" name="Button 188">
              <controlPr defaultSize="0" autoFill="0" autoLine="0" autoPict="0" macro="[1]!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13" r:id="rId192" name="Button 189">
              <controlPr defaultSize="0" autoFill="0" autoLine="0" autoPict="0" macro="[1]!Sheet1.InsertNewTabl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14" r:id="rId193" name="Button 190">
              <controlPr defaultSize="0" autoFill="0" autoLine="0" autoPict="0" macro="[1]!Sheet1.deleteRow">
                <anchor moveWithCells="1" sizeWithCells="1">
                  <from>
                    <xdr:col>6</xdr:col>
                    <xdr:colOff>0</xdr:colOff>
                    <xdr:row>481</xdr:row>
                    <xdr:rowOff>0</xdr:rowOff>
                  </from>
                  <to>
                    <xdr:col>7</xdr:col>
                    <xdr:colOff>0</xdr:colOff>
                    <xdr:row>481</xdr:row>
                    <xdr:rowOff>133350</xdr:rowOff>
                  </to>
                </anchor>
              </controlPr>
            </control>
          </mc:Choice>
        </mc:AlternateContent>
        <mc:AlternateContent xmlns:mc="http://schemas.openxmlformats.org/markup-compatibility/2006">
          <mc:Choice Requires="x14">
            <control shapeId="1215" r:id="rId194" name="Button 191">
              <controlPr defaultSize="0" autoFill="0" autoLine="0" autoPict="0" macro="[1]!Sheet1.deleteRow">
                <anchor moveWithCells="1" sizeWithCells="1">
                  <from>
                    <xdr:col>6</xdr:col>
                    <xdr:colOff>0</xdr:colOff>
                    <xdr:row>482</xdr:row>
                    <xdr:rowOff>0</xdr:rowOff>
                  </from>
                  <to>
                    <xdr:col>7</xdr:col>
                    <xdr:colOff>0</xdr:colOff>
                    <xdr:row>482</xdr:row>
                    <xdr:rowOff>133350</xdr:rowOff>
                  </to>
                </anchor>
              </controlPr>
            </control>
          </mc:Choice>
        </mc:AlternateContent>
        <mc:AlternateContent xmlns:mc="http://schemas.openxmlformats.org/markup-compatibility/2006">
          <mc:Choice Requires="x14">
            <control shapeId="1216" r:id="rId195" name="Button 192">
              <controlPr defaultSize="0" autoFill="0" autoLine="0" autoPict="0" macro="[1]!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17" r:id="rId196" name="Button 193">
              <controlPr defaultSize="0" autoFill="0" autoLine="0" autoPict="0" macro="[1]!Sheet1.InsertNewTabl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18" r:id="rId197" name="Button 194">
              <controlPr defaultSize="0" autoFill="0" autoLine="0" autoPict="0" macro="[1]!Sheet1.deleteRow">
                <anchor moveWithCells="1" sizeWithCells="1">
                  <from>
                    <xdr:col>6</xdr:col>
                    <xdr:colOff>0</xdr:colOff>
                    <xdr:row>493</xdr:row>
                    <xdr:rowOff>0</xdr:rowOff>
                  </from>
                  <to>
                    <xdr:col>7</xdr:col>
                    <xdr:colOff>0</xdr:colOff>
                    <xdr:row>493</xdr:row>
                    <xdr:rowOff>133350</xdr:rowOff>
                  </to>
                </anchor>
              </controlPr>
            </control>
          </mc:Choice>
        </mc:AlternateContent>
        <mc:AlternateContent xmlns:mc="http://schemas.openxmlformats.org/markup-compatibility/2006">
          <mc:Choice Requires="x14">
            <control shapeId="1219" r:id="rId198" name="Button 195">
              <controlPr defaultSize="0" autoFill="0" autoLine="0" autoPict="0" macro="[1]!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20" r:id="rId199" name="Button 196">
              <controlPr defaultSize="0" autoFill="0" autoLine="0" autoPict="0" macro="[1]!Sheet1.InsertNewTabl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21" r:id="rId200" name="Button 197">
              <controlPr defaultSize="0" autoFill="0" autoLine="0" autoPict="0" macro="[1]!Sheet1.deleteRow">
                <anchor moveWithCells="1" sizeWithCells="1">
                  <from>
                    <xdr:col>6</xdr:col>
                    <xdr:colOff>0</xdr:colOff>
                    <xdr:row>504</xdr:row>
                    <xdr:rowOff>0</xdr:rowOff>
                  </from>
                  <to>
                    <xdr:col>7</xdr:col>
                    <xdr:colOff>0</xdr:colOff>
                    <xdr:row>504</xdr:row>
                    <xdr:rowOff>133350</xdr:rowOff>
                  </to>
                </anchor>
              </controlPr>
            </control>
          </mc:Choice>
        </mc:AlternateContent>
        <mc:AlternateContent xmlns:mc="http://schemas.openxmlformats.org/markup-compatibility/2006">
          <mc:Choice Requires="x14">
            <control shapeId="1222" r:id="rId201" name="Button 198">
              <controlPr defaultSize="0" autoFill="0" autoLine="0" autoPict="0" macro="[1]!Sheet1.deleteRow">
                <anchor moveWithCells="1" sizeWithCells="1">
                  <from>
                    <xdr:col>6</xdr:col>
                    <xdr:colOff>0</xdr:colOff>
                    <xdr:row>505</xdr:row>
                    <xdr:rowOff>0</xdr:rowOff>
                  </from>
                  <to>
                    <xdr:col>7</xdr:col>
                    <xdr:colOff>0</xdr:colOff>
                    <xdr:row>505</xdr:row>
                    <xdr:rowOff>133350</xdr:rowOff>
                  </to>
                </anchor>
              </controlPr>
            </control>
          </mc:Choice>
        </mc:AlternateContent>
        <mc:AlternateContent xmlns:mc="http://schemas.openxmlformats.org/markup-compatibility/2006">
          <mc:Choice Requires="x14">
            <control shapeId="1223" r:id="rId202" name="Button 199">
              <controlPr defaultSize="0" autoFill="0" autoLine="0" autoPict="0" macro="[1]!Sheet1.deleteRow">
                <anchor moveWithCells="1" sizeWithCells="1">
                  <from>
                    <xdr:col>6</xdr:col>
                    <xdr:colOff>0</xdr:colOff>
                    <xdr:row>506</xdr:row>
                    <xdr:rowOff>0</xdr:rowOff>
                  </from>
                  <to>
                    <xdr:col>7</xdr:col>
                    <xdr:colOff>0</xdr:colOff>
                    <xdr:row>506</xdr:row>
                    <xdr:rowOff>133350</xdr:rowOff>
                  </to>
                </anchor>
              </controlPr>
            </control>
          </mc:Choice>
        </mc:AlternateContent>
        <mc:AlternateContent xmlns:mc="http://schemas.openxmlformats.org/markup-compatibility/2006">
          <mc:Choice Requires="x14">
            <control shapeId="1224" r:id="rId203" name="Button 200">
              <controlPr defaultSize="0" autoFill="0" autoLine="0" autoPict="0" macro="[1]!Sheet1.deleteRow">
                <anchor moveWithCells="1" sizeWithCells="1">
                  <from>
                    <xdr:col>6</xdr:col>
                    <xdr:colOff>0</xdr:colOff>
                    <xdr:row>507</xdr:row>
                    <xdr:rowOff>0</xdr:rowOff>
                  </from>
                  <to>
                    <xdr:col>7</xdr:col>
                    <xdr:colOff>0</xdr:colOff>
                    <xdr:row>507</xdr:row>
                    <xdr:rowOff>133350</xdr:rowOff>
                  </to>
                </anchor>
              </controlPr>
            </control>
          </mc:Choice>
        </mc:AlternateContent>
        <mc:AlternateContent xmlns:mc="http://schemas.openxmlformats.org/markup-compatibility/2006">
          <mc:Choice Requires="x14">
            <control shapeId="1225" r:id="rId204" name="Button 201">
              <controlPr defaultSize="0" autoFill="0" autoLine="0" autoPict="0" macro="[1]!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26" r:id="rId205" name="Button 202">
              <controlPr defaultSize="0" autoFill="0" autoLine="0" autoPict="0" macro="[1]!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27" r:id="rId206" name="Button 203">
              <controlPr defaultSize="0" autoFill="0" autoLine="0" autoPict="0" macro="[1]!Sheet1.deleteRow">
                <anchor moveWithCells="1" sizeWithCells="1">
                  <from>
                    <xdr:col>6</xdr:col>
                    <xdr:colOff>0</xdr:colOff>
                    <xdr:row>518</xdr:row>
                    <xdr:rowOff>0</xdr:rowOff>
                  </from>
                  <to>
                    <xdr:col>7</xdr:col>
                    <xdr:colOff>0</xdr:colOff>
                    <xdr:row>518</xdr:row>
                    <xdr:rowOff>133350</xdr:rowOff>
                  </to>
                </anchor>
              </controlPr>
            </control>
          </mc:Choice>
        </mc:AlternateContent>
        <mc:AlternateContent xmlns:mc="http://schemas.openxmlformats.org/markup-compatibility/2006">
          <mc:Choice Requires="x14">
            <control shapeId="1228" r:id="rId207" name="Button 204">
              <controlPr defaultSize="0" autoFill="0" autoLine="0" autoPict="0" macro="[1]!Sheet1.deleteRow">
                <anchor moveWithCells="1" sizeWithCells="1">
                  <from>
                    <xdr:col>6</xdr:col>
                    <xdr:colOff>0</xdr:colOff>
                    <xdr:row>519</xdr:row>
                    <xdr:rowOff>0</xdr:rowOff>
                  </from>
                  <to>
                    <xdr:col>7</xdr:col>
                    <xdr:colOff>0</xdr:colOff>
                    <xdr:row>519</xdr:row>
                    <xdr:rowOff>133350</xdr:rowOff>
                  </to>
                </anchor>
              </controlPr>
            </control>
          </mc:Choice>
        </mc:AlternateContent>
        <mc:AlternateContent xmlns:mc="http://schemas.openxmlformats.org/markup-compatibility/2006">
          <mc:Choice Requires="x14">
            <control shapeId="1229" r:id="rId208" name="Button 205">
              <controlPr defaultSize="0" autoFill="0" autoLine="0" autoPict="0" macro="[1]!Sheet1.deleteRow">
                <anchor moveWithCells="1" sizeWithCells="1">
                  <from>
                    <xdr:col>6</xdr:col>
                    <xdr:colOff>0</xdr:colOff>
                    <xdr:row>520</xdr:row>
                    <xdr:rowOff>0</xdr:rowOff>
                  </from>
                  <to>
                    <xdr:col>7</xdr:col>
                    <xdr:colOff>0</xdr:colOff>
                    <xdr:row>520</xdr:row>
                    <xdr:rowOff>133350</xdr:rowOff>
                  </to>
                </anchor>
              </controlPr>
            </control>
          </mc:Choice>
        </mc:AlternateContent>
        <mc:AlternateContent xmlns:mc="http://schemas.openxmlformats.org/markup-compatibility/2006">
          <mc:Choice Requires="x14">
            <control shapeId="1230" r:id="rId209" name="Button 206">
              <controlPr defaultSize="0" autoFill="0" autoLine="0" autoPict="0" macro="[1]!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31" r:id="rId210" name="Button 207">
              <controlPr defaultSize="0" autoFill="0" autoLine="0" autoPict="0" macro="[1]!Sheet1.InsertNewTabl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32" r:id="rId211" name="Button 208">
              <controlPr defaultSize="0" autoFill="0" autoLine="0" autoPict="0" macro="[1]!Sheet1.deleteRow">
                <anchor moveWithCells="1" sizeWithCells="1">
                  <from>
                    <xdr:col>6</xdr:col>
                    <xdr:colOff>0</xdr:colOff>
                    <xdr:row>531</xdr:row>
                    <xdr:rowOff>0</xdr:rowOff>
                  </from>
                  <to>
                    <xdr:col>7</xdr:col>
                    <xdr:colOff>0</xdr:colOff>
                    <xdr:row>531</xdr:row>
                    <xdr:rowOff>133350</xdr:rowOff>
                  </to>
                </anchor>
              </controlPr>
            </control>
          </mc:Choice>
        </mc:AlternateContent>
        <mc:AlternateContent xmlns:mc="http://schemas.openxmlformats.org/markup-compatibility/2006">
          <mc:Choice Requires="x14">
            <control shapeId="1233" r:id="rId212" name="Button 209">
              <controlPr defaultSize="0" autoFill="0" autoLine="0" autoPict="0" macro="[1]!Sheet1.deleteProcedure">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34" r:id="rId213" name="Button 210">
              <controlPr defaultSize="0" autoFill="0" autoLine="0" autoPict="0" macro="[1]!Sheet1.InsertNewTabl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235" r:id="rId214" name="Button 211">
              <controlPr defaultSize="0" autoFill="0" autoLine="0" autoPict="0" macro="[1]!Sheet1.deleteRow">
                <anchor moveWithCells="1" sizeWithCells="1">
                  <from>
                    <xdr:col>6</xdr:col>
                    <xdr:colOff>0</xdr:colOff>
                    <xdr:row>542</xdr:row>
                    <xdr:rowOff>0</xdr:rowOff>
                  </from>
                  <to>
                    <xdr:col>7</xdr:col>
                    <xdr:colOff>0</xdr:colOff>
                    <xdr:row>542</xdr:row>
                    <xdr:rowOff>133350</xdr:rowOff>
                  </to>
                </anchor>
              </controlPr>
            </control>
          </mc:Choice>
        </mc:AlternateContent>
        <mc:AlternateContent xmlns:mc="http://schemas.openxmlformats.org/markup-compatibility/2006">
          <mc:Choice Requires="x14">
            <control shapeId="1236" r:id="rId215" name="Button 212">
              <controlPr defaultSize="0" autoFill="0" autoLine="0" autoPict="0" macro="[1]!Sheet1.deleteRow">
                <anchor moveWithCells="1" sizeWithCells="1">
                  <from>
                    <xdr:col>6</xdr:col>
                    <xdr:colOff>0</xdr:colOff>
                    <xdr:row>543</xdr:row>
                    <xdr:rowOff>0</xdr:rowOff>
                  </from>
                  <to>
                    <xdr:col>7</xdr:col>
                    <xdr:colOff>0</xdr:colOff>
                    <xdr:row>543</xdr:row>
                    <xdr:rowOff>133350</xdr:rowOff>
                  </to>
                </anchor>
              </controlPr>
            </control>
          </mc:Choice>
        </mc:AlternateContent>
        <mc:AlternateContent xmlns:mc="http://schemas.openxmlformats.org/markup-compatibility/2006">
          <mc:Choice Requires="x14">
            <control shapeId="1237" r:id="rId216" name="Button 213">
              <controlPr defaultSize="0" autoFill="0" autoLine="0" autoPict="0" macro="[1]!Sheet1.deleteRow">
                <anchor moveWithCells="1" sizeWithCells="1">
                  <from>
                    <xdr:col>6</xdr:col>
                    <xdr:colOff>0</xdr:colOff>
                    <xdr:row>544</xdr:row>
                    <xdr:rowOff>0</xdr:rowOff>
                  </from>
                  <to>
                    <xdr:col>7</xdr:col>
                    <xdr:colOff>0</xdr:colOff>
                    <xdr:row>544</xdr:row>
                    <xdr:rowOff>133350</xdr:rowOff>
                  </to>
                </anchor>
              </controlPr>
            </control>
          </mc:Choice>
        </mc:AlternateContent>
        <mc:AlternateContent xmlns:mc="http://schemas.openxmlformats.org/markup-compatibility/2006">
          <mc:Choice Requires="x14">
            <control shapeId="1238" r:id="rId217" name="Button 214">
              <controlPr defaultSize="0" autoFill="0" autoLine="0" autoPict="0" macro="[1]!Sheet1.deleteRow">
                <anchor moveWithCells="1" sizeWithCells="1">
                  <from>
                    <xdr:col>6</xdr:col>
                    <xdr:colOff>0</xdr:colOff>
                    <xdr:row>545</xdr:row>
                    <xdr:rowOff>0</xdr:rowOff>
                  </from>
                  <to>
                    <xdr:col>7</xdr:col>
                    <xdr:colOff>0</xdr:colOff>
                    <xdr:row>545</xdr:row>
                    <xdr:rowOff>133350</xdr:rowOff>
                  </to>
                </anchor>
              </controlPr>
            </control>
          </mc:Choice>
        </mc:AlternateContent>
        <mc:AlternateContent xmlns:mc="http://schemas.openxmlformats.org/markup-compatibility/2006">
          <mc:Choice Requires="x14">
            <control shapeId="1239" r:id="rId218" name="Button 215">
              <controlPr defaultSize="0" autoFill="0" autoLine="0" autoPict="0" macro="[1]!Sheet1.deleteRow">
                <anchor moveWithCells="1" sizeWithCells="1">
                  <from>
                    <xdr:col>6</xdr:col>
                    <xdr:colOff>0</xdr:colOff>
                    <xdr:row>546</xdr:row>
                    <xdr:rowOff>0</xdr:rowOff>
                  </from>
                  <to>
                    <xdr:col>7</xdr:col>
                    <xdr:colOff>0</xdr:colOff>
                    <xdr:row>546</xdr:row>
                    <xdr:rowOff>133350</xdr:rowOff>
                  </to>
                </anchor>
              </controlPr>
            </control>
          </mc:Choice>
        </mc:AlternateContent>
        <mc:AlternateContent xmlns:mc="http://schemas.openxmlformats.org/markup-compatibility/2006">
          <mc:Choice Requires="x14">
            <control shapeId="1240" r:id="rId219" name="Button 216">
              <controlPr defaultSize="0" autoFill="0" autoLine="0" autoPict="0" macro="[1]!Sheet1.deleteRow">
                <anchor moveWithCells="1" sizeWithCells="1">
                  <from>
                    <xdr:col>6</xdr:col>
                    <xdr:colOff>0</xdr:colOff>
                    <xdr:row>547</xdr:row>
                    <xdr:rowOff>0</xdr:rowOff>
                  </from>
                  <to>
                    <xdr:col>7</xdr:col>
                    <xdr:colOff>0</xdr:colOff>
                    <xdr:row>547</xdr:row>
                    <xdr:rowOff>133350</xdr:rowOff>
                  </to>
                </anchor>
              </controlPr>
            </control>
          </mc:Choice>
        </mc:AlternateContent>
        <mc:AlternateContent xmlns:mc="http://schemas.openxmlformats.org/markup-compatibility/2006">
          <mc:Choice Requires="x14">
            <control shapeId="1241" r:id="rId220" name="Button 217">
              <controlPr defaultSize="0" autoFill="0" autoLine="0" autoPict="0" macro="[1]!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42" r:id="rId221" name="Button 218">
              <controlPr defaultSize="0" autoFill="0" autoLine="0" autoPict="0" macro="[1]!Sheet1.InsertNewTabl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43" r:id="rId222" name="Button 219">
              <controlPr defaultSize="0" autoFill="0" autoLine="0" autoPict="0" macro="[1]!Sheet1.deleteRow">
                <anchor moveWithCells="1" sizeWithCells="1">
                  <from>
                    <xdr:col>6</xdr:col>
                    <xdr:colOff>0</xdr:colOff>
                    <xdr:row>558</xdr:row>
                    <xdr:rowOff>0</xdr:rowOff>
                  </from>
                  <to>
                    <xdr:col>7</xdr:col>
                    <xdr:colOff>0</xdr:colOff>
                    <xdr:row>558</xdr:row>
                    <xdr:rowOff>133350</xdr:rowOff>
                  </to>
                </anchor>
              </controlPr>
            </control>
          </mc:Choice>
        </mc:AlternateContent>
        <mc:AlternateContent xmlns:mc="http://schemas.openxmlformats.org/markup-compatibility/2006">
          <mc:Choice Requires="x14">
            <control shapeId="1244" r:id="rId223" name="Button 220">
              <controlPr defaultSize="0" autoFill="0" autoLine="0" autoPict="0" macro="[1]!Sheet1.deleteRow">
                <anchor moveWithCells="1" sizeWithCells="1">
                  <from>
                    <xdr:col>6</xdr:col>
                    <xdr:colOff>0</xdr:colOff>
                    <xdr:row>559</xdr:row>
                    <xdr:rowOff>0</xdr:rowOff>
                  </from>
                  <to>
                    <xdr:col>7</xdr:col>
                    <xdr:colOff>0</xdr:colOff>
                    <xdr:row>559</xdr:row>
                    <xdr:rowOff>133350</xdr:rowOff>
                  </to>
                </anchor>
              </controlPr>
            </control>
          </mc:Choice>
        </mc:AlternateContent>
        <mc:AlternateContent xmlns:mc="http://schemas.openxmlformats.org/markup-compatibility/2006">
          <mc:Choice Requires="x14">
            <control shapeId="1245" r:id="rId224" name="Button 221">
              <controlPr defaultSize="0" autoFill="0" autoLine="0" autoPict="0" macro="[1]!Sheet1.deleteRow">
                <anchor moveWithCells="1" sizeWithCells="1">
                  <from>
                    <xdr:col>6</xdr:col>
                    <xdr:colOff>0</xdr:colOff>
                    <xdr:row>560</xdr:row>
                    <xdr:rowOff>0</xdr:rowOff>
                  </from>
                  <to>
                    <xdr:col>7</xdr:col>
                    <xdr:colOff>0</xdr:colOff>
                    <xdr:row>560</xdr:row>
                    <xdr:rowOff>133350</xdr:rowOff>
                  </to>
                </anchor>
              </controlPr>
            </control>
          </mc:Choice>
        </mc:AlternateContent>
        <mc:AlternateContent xmlns:mc="http://schemas.openxmlformats.org/markup-compatibility/2006">
          <mc:Choice Requires="x14">
            <control shapeId="1246" r:id="rId225" name="Button 222">
              <controlPr defaultSize="0" autoFill="0" autoLine="0" autoPict="0" macro="[1]!Sheet1.deleteProcedure">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247" r:id="rId226" name="Button 223">
              <controlPr defaultSize="0" autoFill="0" autoLine="0" autoPict="0" macro="[1]!Sheet1.InsertNewTabl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48" r:id="rId227" name="Button 224">
              <controlPr defaultSize="0" autoFill="0" autoLine="0" autoPict="0" macro="[1]!Sheet1.deleteRow">
                <anchor moveWithCells="1" sizeWithCells="1">
                  <from>
                    <xdr:col>6</xdr:col>
                    <xdr:colOff>0</xdr:colOff>
                    <xdr:row>571</xdr:row>
                    <xdr:rowOff>0</xdr:rowOff>
                  </from>
                  <to>
                    <xdr:col>7</xdr:col>
                    <xdr:colOff>0</xdr:colOff>
                    <xdr:row>571</xdr:row>
                    <xdr:rowOff>133350</xdr:rowOff>
                  </to>
                </anchor>
              </controlPr>
            </control>
          </mc:Choice>
        </mc:AlternateContent>
        <mc:AlternateContent xmlns:mc="http://schemas.openxmlformats.org/markup-compatibility/2006">
          <mc:Choice Requires="x14">
            <control shapeId="1249" r:id="rId228" name="Button 225">
              <controlPr defaultSize="0" autoFill="0" autoLine="0" autoPict="0" macro="[1]!Sheet1.deleteRow">
                <anchor moveWithCells="1" sizeWithCells="1">
                  <from>
                    <xdr:col>6</xdr:col>
                    <xdr:colOff>0</xdr:colOff>
                    <xdr:row>572</xdr:row>
                    <xdr:rowOff>0</xdr:rowOff>
                  </from>
                  <to>
                    <xdr:col>7</xdr:col>
                    <xdr:colOff>0</xdr:colOff>
                    <xdr:row>572</xdr:row>
                    <xdr:rowOff>133350</xdr:rowOff>
                  </to>
                </anchor>
              </controlPr>
            </control>
          </mc:Choice>
        </mc:AlternateContent>
        <mc:AlternateContent xmlns:mc="http://schemas.openxmlformats.org/markup-compatibility/2006">
          <mc:Choice Requires="x14">
            <control shapeId="1250" r:id="rId229" name="Button 226">
              <controlPr defaultSize="0" autoFill="0" autoLine="0" autoPict="0" macro="[1]!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251" r:id="rId230" name="Button 227">
              <controlPr defaultSize="0" autoFill="0" autoLine="0" autoPict="0" macro="[1]!Sheet1.InsertNewTabl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52" r:id="rId231" name="Button 228">
              <controlPr defaultSize="0" autoFill="0" autoLine="0" autoPict="0" macro="[1]!Sheet1.deleteRow">
                <anchor moveWithCells="1" sizeWithCells="1">
                  <from>
                    <xdr:col>6</xdr:col>
                    <xdr:colOff>0</xdr:colOff>
                    <xdr:row>583</xdr:row>
                    <xdr:rowOff>0</xdr:rowOff>
                  </from>
                  <to>
                    <xdr:col>7</xdr:col>
                    <xdr:colOff>0</xdr:colOff>
                    <xdr:row>583</xdr:row>
                    <xdr:rowOff>133350</xdr:rowOff>
                  </to>
                </anchor>
              </controlPr>
            </control>
          </mc:Choice>
        </mc:AlternateContent>
        <mc:AlternateContent xmlns:mc="http://schemas.openxmlformats.org/markup-compatibility/2006">
          <mc:Choice Requires="x14">
            <control shapeId="1253" r:id="rId232" name="Button 229">
              <controlPr defaultSize="0" autoFill="0" autoLine="0" autoPict="0" macro="[1]!Sheet1.deleteRow">
                <anchor moveWithCells="1" sizeWithCells="1">
                  <from>
                    <xdr:col>6</xdr:col>
                    <xdr:colOff>0</xdr:colOff>
                    <xdr:row>584</xdr:row>
                    <xdr:rowOff>0</xdr:rowOff>
                  </from>
                  <to>
                    <xdr:col>7</xdr:col>
                    <xdr:colOff>0</xdr:colOff>
                    <xdr:row>584</xdr:row>
                    <xdr:rowOff>133350</xdr:rowOff>
                  </to>
                </anchor>
              </controlPr>
            </control>
          </mc:Choice>
        </mc:AlternateContent>
        <mc:AlternateContent xmlns:mc="http://schemas.openxmlformats.org/markup-compatibility/2006">
          <mc:Choice Requires="x14">
            <control shapeId="1254" r:id="rId233" name="Button 230">
              <controlPr defaultSize="0" autoFill="0" autoLine="0" autoPict="0" macro="[1]!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55" r:id="rId234" name="Button 231">
              <controlPr defaultSize="0" autoFill="0" autoLine="0" autoPict="0" macro="[1]!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56" r:id="rId235" name="Button 232">
              <controlPr defaultSize="0" autoFill="0" autoLine="0" autoPict="0" macro="[1]!Sheet1.deleteRow">
                <anchor moveWithCells="1" sizeWithCells="1">
                  <from>
                    <xdr:col>6</xdr:col>
                    <xdr:colOff>0</xdr:colOff>
                    <xdr:row>595</xdr:row>
                    <xdr:rowOff>0</xdr:rowOff>
                  </from>
                  <to>
                    <xdr:col>7</xdr:col>
                    <xdr:colOff>0</xdr:colOff>
                    <xdr:row>595</xdr:row>
                    <xdr:rowOff>133350</xdr:rowOff>
                  </to>
                </anchor>
              </controlPr>
            </control>
          </mc:Choice>
        </mc:AlternateContent>
        <mc:AlternateContent xmlns:mc="http://schemas.openxmlformats.org/markup-compatibility/2006">
          <mc:Choice Requires="x14">
            <control shapeId="1257" r:id="rId236" name="Button 233">
              <controlPr defaultSize="0" autoFill="0" autoLine="0" autoPict="0" macro="[1]!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58" r:id="rId237" name="Button 234">
              <controlPr defaultSize="0" autoFill="0" autoLine="0" autoPict="0" macro="[1]!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59" r:id="rId238" name="Button 235">
              <controlPr defaultSize="0" autoFill="0" autoLine="0" autoPict="0" macro="[1]!Sheet1.deleteRow">
                <anchor moveWithCells="1" sizeWithCells="1">
                  <from>
                    <xdr:col>6</xdr:col>
                    <xdr:colOff>0</xdr:colOff>
                    <xdr:row>606</xdr:row>
                    <xdr:rowOff>0</xdr:rowOff>
                  </from>
                  <to>
                    <xdr:col>7</xdr:col>
                    <xdr:colOff>0</xdr:colOff>
                    <xdr:row>606</xdr:row>
                    <xdr:rowOff>133350</xdr:rowOff>
                  </to>
                </anchor>
              </controlPr>
            </control>
          </mc:Choice>
        </mc:AlternateContent>
        <mc:AlternateContent xmlns:mc="http://schemas.openxmlformats.org/markup-compatibility/2006">
          <mc:Choice Requires="x14">
            <control shapeId="1260" r:id="rId239" name="Button 236">
              <controlPr defaultSize="0" autoFill="0" autoLine="0" autoPict="0" macro="[1]!Sheet1.deleteRow">
                <anchor moveWithCells="1" sizeWithCells="1">
                  <from>
                    <xdr:col>6</xdr:col>
                    <xdr:colOff>0</xdr:colOff>
                    <xdr:row>607</xdr:row>
                    <xdr:rowOff>0</xdr:rowOff>
                  </from>
                  <to>
                    <xdr:col>7</xdr:col>
                    <xdr:colOff>0</xdr:colOff>
                    <xdr:row>607</xdr:row>
                    <xdr:rowOff>133350</xdr:rowOff>
                  </to>
                </anchor>
              </controlPr>
            </control>
          </mc:Choice>
        </mc:AlternateContent>
        <mc:AlternateContent xmlns:mc="http://schemas.openxmlformats.org/markup-compatibility/2006">
          <mc:Choice Requires="x14">
            <control shapeId="1261" r:id="rId240" name="Button 237">
              <controlPr defaultSize="0" autoFill="0" autoLine="0" autoPict="0" macro="[1]!Sheet1.deleteRow">
                <anchor moveWithCells="1" sizeWithCells="1">
                  <from>
                    <xdr:col>6</xdr:col>
                    <xdr:colOff>0</xdr:colOff>
                    <xdr:row>608</xdr:row>
                    <xdr:rowOff>0</xdr:rowOff>
                  </from>
                  <to>
                    <xdr:col>7</xdr:col>
                    <xdr:colOff>0</xdr:colOff>
                    <xdr:row>608</xdr:row>
                    <xdr:rowOff>133350</xdr:rowOff>
                  </to>
                </anchor>
              </controlPr>
            </control>
          </mc:Choice>
        </mc:AlternateContent>
        <mc:AlternateContent xmlns:mc="http://schemas.openxmlformats.org/markup-compatibility/2006">
          <mc:Choice Requires="x14">
            <control shapeId="1262" r:id="rId241" name="Button 238">
              <controlPr defaultSize="0" autoFill="0" autoLine="0" autoPict="0" macro="[1]!Sheet1.deleteRow">
                <anchor moveWithCells="1" sizeWithCells="1">
                  <from>
                    <xdr:col>6</xdr:col>
                    <xdr:colOff>0</xdr:colOff>
                    <xdr:row>609</xdr:row>
                    <xdr:rowOff>0</xdr:rowOff>
                  </from>
                  <to>
                    <xdr:col>7</xdr:col>
                    <xdr:colOff>0</xdr:colOff>
                    <xdr:row>609</xdr:row>
                    <xdr:rowOff>133350</xdr:rowOff>
                  </to>
                </anchor>
              </controlPr>
            </control>
          </mc:Choice>
        </mc:AlternateContent>
        <mc:AlternateContent xmlns:mc="http://schemas.openxmlformats.org/markup-compatibility/2006">
          <mc:Choice Requires="x14">
            <control shapeId="1263" r:id="rId242" name="Button 239">
              <controlPr defaultSize="0" autoFill="0" autoLine="0" autoPict="0" macro="[1]!Sheet1.deleteRow">
                <anchor moveWithCells="1" sizeWithCells="1">
                  <from>
                    <xdr:col>6</xdr:col>
                    <xdr:colOff>0</xdr:colOff>
                    <xdr:row>610</xdr:row>
                    <xdr:rowOff>0</xdr:rowOff>
                  </from>
                  <to>
                    <xdr:col>7</xdr:col>
                    <xdr:colOff>0</xdr:colOff>
                    <xdr:row>610</xdr:row>
                    <xdr:rowOff>133350</xdr:rowOff>
                  </to>
                </anchor>
              </controlPr>
            </control>
          </mc:Choice>
        </mc:AlternateContent>
        <mc:AlternateContent xmlns:mc="http://schemas.openxmlformats.org/markup-compatibility/2006">
          <mc:Choice Requires="x14">
            <control shapeId="1264" r:id="rId243" name="Button 240">
              <controlPr defaultSize="0" autoFill="0" autoLine="0" autoPict="0" macro="[1]!Sheet1.deleteRow">
                <anchor moveWithCells="1" sizeWithCells="1">
                  <from>
                    <xdr:col>6</xdr:col>
                    <xdr:colOff>0</xdr:colOff>
                    <xdr:row>611</xdr:row>
                    <xdr:rowOff>0</xdr:rowOff>
                  </from>
                  <to>
                    <xdr:col>7</xdr:col>
                    <xdr:colOff>0</xdr:colOff>
                    <xdr:row>611</xdr:row>
                    <xdr:rowOff>133350</xdr:rowOff>
                  </to>
                </anchor>
              </controlPr>
            </control>
          </mc:Choice>
        </mc:AlternateContent>
        <mc:AlternateContent xmlns:mc="http://schemas.openxmlformats.org/markup-compatibility/2006">
          <mc:Choice Requires="x14">
            <control shapeId="1265" r:id="rId244" name="Button 241">
              <controlPr defaultSize="0" autoFill="0" autoLine="0" autoPict="0" macro="[1]!Sheet1.deleteRow">
                <anchor moveWithCells="1" sizeWithCells="1">
                  <from>
                    <xdr:col>6</xdr:col>
                    <xdr:colOff>0</xdr:colOff>
                    <xdr:row>612</xdr:row>
                    <xdr:rowOff>0</xdr:rowOff>
                  </from>
                  <to>
                    <xdr:col>7</xdr:col>
                    <xdr:colOff>0</xdr:colOff>
                    <xdr:row>612</xdr:row>
                    <xdr:rowOff>133350</xdr:rowOff>
                  </to>
                </anchor>
              </controlPr>
            </control>
          </mc:Choice>
        </mc:AlternateContent>
        <mc:AlternateContent xmlns:mc="http://schemas.openxmlformats.org/markup-compatibility/2006">
          <mc:Choice Requires="x14">
            <control shapeId="1266" r:id="rId245" name="Button 242">
              <controlPr defaultSize="0" autoFill="0" autoLine="0" autoPict="0" macro="[1]!Sheet1.deleteRow">
                <anchor moveWithCells="1" sizeWithCells="1">
                  <from>
                    <xdr:col>6</xdr:col>
                    <xdr:colOff>0</xdr:colOff>
                    <xdr:row>613</xdr:row>
                    <xdr:rowOff>0</xdr:rowOff>
                  </from>
                  <to>
                    <xdr:col>7</xdr:col>
                    <xdr:colOff>0</xdr:colOff>
                    <xdr:row>613</xdr:row>
                    <xdr:rowOff>133350</xdr:rowOff>
                  </to>
                </anchor>
              </controlPr>
            </control>
          </mc:Choice>
        </mc:AlternateContent>
        <mc:AlternateContent xmlns:mc="http://schemas.openxmlformats.org/markup-compatibility/2006">
          <mc:Choice Requires="x14">
            <control shapeId="1267" r:id="rId246" name="Button 243">
              <controlPr defaultSize="0" autoFill="0" autoLine="0" autoPict="0" macro="[1]!Sheet1.deleteRow">
                <anchor moveWithCells="1" sizeWithCells="1">
                  <from>
                    <xdr:col>6</xdr:col>
                    <xdr:colOff>0</xdr:colOff>
                    <xdr:row>614</xdr:row>
                    <xdr:rowOff>0</xdr:rowOff>
                  </from>
                  <to>
                    <xdr:col>7</xdr:col>
                    <xdr:colOff>0</xdr:colOff>
                    <xdr:row>614</xdr:row>
                    <xdr:rowOff>133350</xdr:rowOff>
                  </to>
                </anchor>
              </controlPr>
            </control>
          </mc:Choice>
        </mc:AlternateContent>
        <mc:AlternateContent xmlns:mc="http://schemas.openxmlformats.org/markup-compatibility/2006">
          <mc:Choice Requires="x14">
            <control shapeId="1268" r:id="rId247" name="Button 244">
              <controlPr defaultSize="0" autoFill="0" autoLine="0" autoPict="0" macro="[1]!Sheet1.deleteRow">
                <anchor moveWithCells="1" sizeWithCells="1">
                  <from>
                    <xdr:col>6</xdr:col>
                    <xdr:colOff>0</xdr:colOff>
                    <xdr:row>615</xdr:row>
                    <xdr:rowOff>0</xdr:rowOff>
                  </from>
                  <to>
                    <xdr:col>7</xdr:col>
                    <xdr:colOff>0</xdr:colOff>
                    <xdr:row>615</xdr:row>
                    <xdr:rowOff>133350</xdr:rowOff>
                  </to>
                </anchor>
              </controlPr>
            </control>
          </mc:Choice>
        </mc:AlternateContent>
        <mc:AlternateContent xmlns:mc="http://schemas.openxmlformats.org/markup-compatibility/2006">
          <mc:Choice Requires="x14">
            <control shapeId="1269" r:id="rId248" name="Button 245">
              <controlPr defaultSize="0" autoFill="0" autoLine="0" autoPict="0" macro="[1]!Sheet1.deleteRow">
                <anchor moveWithCells="1" sizeWithCells="1">
                  <from>
                    <xdr:col>6</xdr:col>
                    <xdr:colOff>0</xdr:colOff>
                    <xdr:row>616</xdr:row>
                    <xdr:rowOff>0</xdr:rowOff>
                  </from>
                  <to>
                    <xdr:col>7</xdr:col>
                    <xdr:colOff>0</xdr:colOff>
                    <xdr:row>616</xdr:row>
                    <xdr:rowOff>133350</xdr:rowOff>
                  </to>
                </anchor>
              </controlPr>
            </control>
          </mc:Choice>
        </mc:AlternateContent>
        <mc:AlternateContent xmlns:mc="http://schemas.openxmlformats.org/markup-compatibility/2006">
          <mc:Choice Requires="x14">
            <control shapeId="1270" r:id="rId249" name="Button 246">
              <controlPr defaultSize="0" autoFill="0" autoLine="0" autoPict="0" macro="[1]!Sheet1.deleteRow">
                <anchor moveWithCells="1" sizeWithCells="1">
                  <from>
                    <xdr:col>6</xdr:col>
                    <xdr:colOff>0</xdr:colOff>
                    <xdr:row>617</xdr:row>
                    <xdr:rowOff>0</xdr:rowOff>
                  </from>
                  <to>
                    <xdr:col>7</xdr:col>
                    <xdr:colOff>0</xdr:colOff>
                    <xdr:row>617</xdr:row>
                    <xdr:rowOff>133350</xdr:rowOff>
                  </to>
                </anchor>
              </controlPr>
            </control>
          </mc:Choice>
        </mc:AlternateContent>
        <mc:AlternateContent xmlns:mc="http://schemas.openxmlformats.org/markup-compatibility/2006">
          <mc:Choice Requires="x14">
            <control shapeId="1271" r:id="rId250" name="Button 247">
              <controlPr defaultSize="0" autoFill="0" autoLine="0" autoPict="0" macro="[1]!Sheet1.deleteRow">
                <anchor moveWithCells="1" sizeWithCells="1">
                  <from>
                    <xdr:col>6</xdr:col>
                    <xdr:colOff>0</xdr:colOff>
                    <xdr:row>618</xdr:row>
                    <xdr:rowOff>0</xdr:rowOff>
                  </from>
                  <to>
                    <xdr:col>7</xdr:col>
                    <xdr:colOff>0</xdr:colOff>
                    <xdr:row>618</xdr:row>
                    <xdr:rowOff>133350</xdr:rowOff>
                  </to>
                </anchor>
              </controlPr>
            </control>
          </mc:Choice>
        </mc:AlternateContent>
        <mc:AlternateContent xmlns:mc="http://schemas.openxmlformats.org/markup-compatibility/2006">
          <mc:Choice Requires="x14">
            <control shapeId="1272" r:id="rId251" name="Button 248">
              <controlPr defaultSize="0" autoFill="0" autoLine="0" autoPict="0" macro="[1]!Sheet1.deleteRow">
                <anchor moveWithCells="1" sizeWithCells="1">
                  <from>
                    <xdr:col>6</xdr:col>
                    <xdr:colOff>0</xdr:colOff>
                    <xdr:row>619</xdr:row>
                    <xdr:rowOff>0</xdr:rowOff>
                  </from>
                  <to>
                    <xdr:col>7</xdr:col>
                    <xdr:colOff>0</xdr:colOff>
                    <xdr:row>619</xdr:row>
                    <xdr:rowOff>133350</xdr:rowOff>
                  </to>
                </anchor>
              </controlPr>
            </control>
          </mc:Choice>
        </mc:AlternateContent>
        <mc:AlternateContent xmlns:mc="http://schemas.openxmlformats.org/markup-compatibility/2006">
          <mc:Choice Requires="x14">
            <control shapeId="1273" r:id="rId252" name="Button 249">
              <controlPr defaultSize="0" autoFill="0" autoLine="0" autoPict="0" macro="[1]!Sheet1.deleteRow">
                <anchor moveWithCells="1" sizeWithCells="1">
                  <from>
                    <xdr:col>6</xdr:col>
                    <xdr:colOff>0</xdr:colOff>
                    <xdr:row>620</xdr:row>
                    <xdr:rowOff>0</xdr:rowOff>
                  </from>
                  <to>
                    <xdr:col>7</xdr:col>
                    <xdr:colOff>0</xdr:colOff>
                    <xdr:row>620</xdr:row>
                    <xdr:rowOff>133350</xdr:rowOff>
                  </to>
                </anchor>
              </controlPr>
            </control>
          </mc:Choice>
        </mc:AlternateContent>
        <mc:AlternateContent xmlns:mc="http://schemas.openxmlformats.org/markup-compatibility/2006">
          <mc:Choice Requires="x14">
            <control shapeId="1274" r:id="rId253" name="Button 250">
              <controlPr defaultSize="0" autoFill="0" autoLine="0" autoPict="0" macro="[1]!Sheet1.deleteRow">
                <anchor moveWithCells="1" sizeWithCells="1">
                  <from>
                    <xdr:col>6</xdr:col>
                    <xdr:colOff>0</xdr:colOff>
                    <xdr:row>621</xdr:row>
                    <xdr:rowOff>0</xdr:rowOff>
                  </from>
                  <to>
                    <xdr:col>7</xdr:col>
                    <xdr:colOff>0</xdr:colOff>
                    <xdr:row>621</xdr:row>
                    <xdr:rowOff>133350</xdr:rowOff>
                  </to>
                </anchor>
              </controlPr>
            </control>
          </mc:Choice>
        </mc:AlternateContent>
        <mc:AlternateContent xmlns:mc="http://schemas.openxmlformats.org/markup-compatibility/2006">
          <mc:Choice Requires="x14">
            <control shapeId="1275" r:id="rId254" name="Button 251">
              <controlPr defaultSize="0" autoFill="0" autoLine="0" autoPict="0" macro="[1]!Sheet1.deleteRow">
                <anchor moveWithCells="1" sizeWithCells="1">
                  <from>
                    <xdr:col>6</xdr:col>
                    <xdr:colOff>0</xdr:colOff>
                    <xdr:row>622</xdr:row>
                    <xdr:rowOff>0</xdr:rowOff>
                  </from>
                  <to>
                    <xdr:col>7</xdr:col>
                    <xdr:colOff>0</xdr:colOff>
                    <xdr:row>622</xdr:row>
                    <xdr:rowOff>133350</xdr:rowOff>
                  </to>
                </anchor>
              </controlPr>
            </control>
          </mc:Choice>
        </mc:AlternateContent>
        <mc:AlternateContent xmlns:mc="http://schemas.openxmlformats.org/markup-compatibility/2006">
          <mc:Choice Requires="x14">
            <control shapeId="1276" r:id="rId255" name="Button 252">
              <controlPr defaultSize="0" autoFill="0" autoLine="0" autoPict="0" macro="[1]!Sheet1.deleteRow">
                <anchor moveWithCells="1" sizeWithCells="1">
                  <from>
                    <xdr:col>6</xdr:col>
                    <xdr:colOff>0</xdr:colOff>
                    <xdr:row>623</xdr:row>
                    <xdr:rowOff>0</xdr:rowOff>
                  </from>
                  <to>
                    <xdr:col>7</xdr:col>
                    <xdr:colOff>0</xdr:colOff>
                    <xdr:row>623</xdr:row>
                    <xdr:rowOff>133350</xdr:rowOff>
                  </to>
                </anchor>
              </controlPr>
            </control>
          </mc:Choice>
        </mc:AlternateContent>
        <mc:AlternateContent xmlns:mc="http://schemas.openxmlformats.org/markup-compatibility/2006">
          <mc:Choice Requires="x14">
            <control shapeId="1277" r:id="rId256" name="Button 253">
              <controlPr defaultSize="0" autoFill="0" autoLine="0" autoPict="0" macro="[1]!Sheet1.deleteRow">
                <anchor moveWithCells="1" sizeWithCells="1">
                  <from>
                    <xdr:col>6</xdr:col>
                    <xdr:colOff>0</xdr:colOff>
                    <xdr:row>624</xdr:row>
                    <xdr:rowOff>0</xdr:rowOff>
                  </from>
                  <to>
                    <xdr:col>7</xdr:col>
                    <xdr:colOff>0</xdr:colOff>
                    <xdr:row>624</xdr:row>
                    <xdr:rowOff>133350</xdr:rowOff>
                  </to>
                </anchor>
              </controlPr>
            </control>
          </mc:Choice>
        </mc:AlternateContent>
        <mc:AlternateContent xmlns:mc="http://schemas.openxmlformats.org/markup-compatibility/2006">
          <mc:Choice Requires="x14">
            <control shapeId="1278" r:id="rId257" name="Button 254">
              <controlPr defaultSize="0" autoFill="0" autoLine="0" autoPict="0" macro="[1]!Sheet1.deleteRow">
                <anchor moveWithCells="1" sizeWithCells="1">
                  <from>
                    <xdr:col>6</xdr:col>
                    <xdr:colOff>0</xdr:colOff>
                    <xdr:row>625</xdr:row>
                    <xdr:rowOff>0</xdr:rowOff>
                  </from>
                  <to>
                    <xdr:col>7</xdr:col>
                    <xdr:colOff>0</xdr:colOff>
                    <xdr:row>625</xdr:row>
                    <xdr:rowOff>133350</xdr:rowOff>
                  </to>
                </anchor>
              </controlPr>
            </control>
          </mc:Choice>
        </mc:AlternateContent>
        <mc:AlternateContent xmlns:mc="http://schemas.openxmlformats.org/markup-compatibility/2006">
          <mc:Choice Requires="x14">
            <control shapeId="1279" r:id="rId258" name="Button 255">
              <controlPr defaultSize="0" autoFill="0" autoLine="0" autoPict="0" macro="[1]!Sheet1.deleteRow">
                <anchor moveWithCells="1" sizeWithCells="1">
                  <from>
                    <xdr:col>6</xdr:col>
                    <xdr:colOff>0</xdr:colOff>
                    <xdr:row>626</xdr:row>
                    <xdr:rowOff>0</xdr:rowOff>
                  </from>
                  <to>
                    <xdr:col>7</xdr:col>
                    <xdr:colOff>0</xdr:colOff>
                    <xdr:row>626</xdr:row>
                    <xdr:rowOff>133350</xdr:rowOff>
                  </to>
                </anchor>
              </controlPr>
            </control>
          </mc:Choice>
        </mc:AlternateContent>
        <mc:AlternateContent xmlns:mc="http://schemas.openxmlformats.org/markup-compatibility/2006">
          <mc:Choice Requires="x14">
            <control shapeId="1280" r:id="rId259" name="Button 256">
              <controlPr defaultSize="0" autoFill="0" autoLine="0" autoPict="0" macro="[1]!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281" r:id="rId260" name="Button 257">
              <controlPr defaultSize="0" autoFill="0" autoLine="0" autoPict="0" macro="[1]!Sheet1.InsertNewTableRow">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282" r:id="rId261" name="Button 258">
              <controlPr defaultSize="0" autoFill="0" autoLine="0" autoPict="0" macro="[1]!Sheet1.deleteRow">
                <anchor moveWithCells="1" sizeWithCells="1">
                  <from>
                    <xdr:col>6</xdr:col>
                    <xdr:colOff>0</xdr:colOff>
                    <xdr:row>637</xdr:row>
                    <xdr:rowOff>0</xdr:rowOff>
                  </from>
                  <to>
                    <xdr:col>7</xdr:col>
                    <xdr:colOff>0</xdr:colOff>
                    <xdr:row>637</xdr:row>
                    <xdr:rowOff>133350</xdr:rowOff>
                  </to>
                </anchor>
              </controlPr>
            </control>
          </mc:Choice>
        </mc:AlternateContent>
        <mc:AlternateContent xmlns:mc="http://schemas.openxmlformats.org/markup-compatibility/2006">
          <mc:Choice Requires="x14">
            <control shapeId="1283" r:id="rId262" name="Button 259">
              <controlPr defaultSize="0" autoFill="0" autoLine="0" autoPict="0" macro="[1]!Sheet1.deleteRow">
                <anchor moveWithCells="1" sizeWithCells="1">
                  <from>
                    <xdr:col>6</xdr:col>
                    <xdr:colOff>0</xdr:colOff>
                    <xdr:row>638</xdr:row>
                    <xdr:rowOff>0</xdr:rowOff>
                  </from>
                  <to>
                    <xdr:col>7</xdr:col>
                    <xdr:colOff>0</xdr:colOff>
                    <xdr:row>638</xdr:row>
                    <xdr:rowOff>133350</xdr:rowOff>
                  </to>
                </anchor>
              </controlPr>
            </control>
          </mc:Choice>
        </mc:AlternateContent>
        <mc:AlternateContent xmlns:mc="http://schemas.openxmlformats.org/markup-compatibility/2006">
          <mc:Choice Requires="x14">
            <control shapeId="1284" r:id="rId263" name="Button 260">
              <controlPr defaultSize="0" autoFill="0" autoLine="0" autoPict="0" macro="[1]!Sheet1.deleteRow">
                <anchor moveWithCells="1" sizeWithCells="1">
                  <from>
                    <xdr:col>6</xdr:col>
                    <xdr:colOff>0</xdr:colOff>
                    <xdr:row>639</xdr:row>
                    <xdr:rowOff>0</xdr:rowOff>
                  </from>
                  <to>
                    <xdr:col>7</xdr:col>
                    <xdr:colOff>0</xdr:colOff>
                    <xdr:row>639</xdr:row>
                    <xdr:rowOff>133350</xdr:rowOff>
                  </to>
                </anchor>
              </controlPr>
            </control>
          </mc:Choice>
        </mc:AlternateContent>
        <mc:AlternateContent xmlns:mc="http://schemas.openxmlformats.org/markup-compatibility/2006">
          <mc:Choice Requires="x14">
            <control shapeId="1285" r:id="rId264" name="Button 261">
              <controlPr defaultSize="0" autoFill="0" autoLine="0" autoPict="0" macro="[1]!Sheet1.deleteRow">
                <anchor moveWithCells="1" sizeWithCells="1">
                  <from>
                    <xdr:col>6</xdr:col>
                    <xdr:colOff>0</xdr:colOff>
                    <xdr:row>640</xdr:row>
                    <xdr:rowOff>0</xdr:rowOff>
                  </from>
                  <to>
                    <xdr:col>7</xdr:col>
                    <xdr:colOff>0</xdr:colOff>
                    <xdr:row>640</xdr:row>
                    <xdr:rowOff>133350</xdr:rowOff>
                  </to>
                </anchor>
              </controlPr>
            </control>
          </mc:Choice>
        </mc:AlternateContent>
        <mc:AlternateContent xmlns:mc="http://schemas.openxmlformats.org/markup-compatibility/2006">
          <mc:Choice Requires="x14">
            <control shapeId="1286" r:id="rId265" name="Button 262">
              <controlPr defaultSize="0" autoFill="0" autoLine="0" autoPict="0" macro="[1]!Sheet1.deleteRow">
                <anchor moveWithCells="1" sizeWithCells="1">
                  <from>
                    <xdr:col>6</xdr:col>
                    <xdr:colOff>0</xdr:colOff>
                    <xdr:row>641</xdr:row>
                    <xdr:rowOff>0</xdr:rowOff>
                  </from>
                  <to>
                    <xdr:col>7</xdr:col>
                    <xdr:colOff>0</xdr:colOff>
                    <xdr:row>641</xdr:row>
                    <xdr:rowOff>133350</xdr:rowOff>
                  </to>
                </anchor>
              </controlPr>
            </control>
          </mc:Choice>
        </mc:AlternateContent>
        <mc:AlternateContent xmlns:mc="http://schemas.openxmlformats.org/markup-compatibility/2006">
          <mc:Choice Requires="x14">
            <control shapeId="1287" r:id="rId266" name="Button 263">
              <controlPr defaultSize="0" autoFill="0" autoLine="0" autoPict="0" macro="[1]!Sheet1.deleteRow">
                <anchor moveWithCells="1" sizeWithCells="1">
                  <from>
                    <xdr:col>6</xdr:col>
                    <xdr:colOff>0</xdr:colOff>
                    <xdr:row>642</xdr:row>
                    <xdr:rowOff>0</xdr:rowOff>
                  </from>
                  <to>
                    <xdr:col>7</xdr:col>
                    <xdr:colOff>0</xdr:colOff>
                    <xdr:row>642</xdr:row>
                    <xdr:rowOff>133350</xdr:rowOff>
                  </to>
                </anchor>
              </controlPr>
            </control>
          </mc:Choice>
        </mc:AlternateContent>
        <mc:AlternateContent xmlns:mc="http://schemas.openxmlformats.org/markup-compatibility/2006">
          <mc:Choice Requires="x14">
            <control shapeId="1288" r:id="rId267" name="Button 264">
              <controlPr defaultSize="0" autoFill="0" autoLine="0" autoPict="0" macro="[1]!Sheet1.deleteRow">
                <anchor moveWithCells="1" sizeWithCells="1">
                  <from>
                    <xdr:col>6</xdr:col>
                    <xdr:colOff>0</xdr:colOff>
                    <xdr:row>643</xdr:row>
                    <xdr:rowOff>0</xdr:rowOff>
                  </from>
                  <to>
                    <xdr:col>7</xdr:col>
                    <xdr:colOff>0</xdr:colOff>
                    <xdr:row>643</xdr:row>
                    <xdr:rowOff>133350</xdr:rowOff>
                  </to>
                </anchor>
              </controlPr>
            </control>
          </mc:Choice>
        </mc:AlternateContent>
        <mc:AlternateContent xmlns:mc="http://schemas.openxmlformats.org/markup-compatibility/2006">
          <mc:Choice Requires="x14">
            <control shapeId="1289" r:id="rId268" name="Button 265">
              <controlPr defaultSize="0" autoFill="0" autoLine="0" autoPict="0" macro="[1]!Sheet1.deleteRow">
                <anchor moveWithCells="1" sizeWithCells="1">
                  <from>
                    <xdr:col>6</xdr:col>
                    <xdr:colOff>0</xdr:colOff>
                    <xdr:row>644</xdr:row>
                    <xdr:rowOff>0</xdr:rowOff>
                  </from>
                  <to>
                    <xdr:col>7</xdr:col>
                    <xdr:colOff>0</xdr:colOff>
                    <xdr:row>644</xdr:row>
                    <xdr:rowOff>133350</xdr:rowOff>
                  </to>
                </anchor>
              </controlPr>
            </control>
          </mc:Choice>
        </mc:AlternateContent>
        <mc:AlternateContent xmlns:mc="http://schemas.openxmlformats.org/markup-compatibility/2006">
          <mc:Choice Requires="x14">
            <control shapeId="1290" r:id="rId269" name="Button 266">
              <controlPr defaultSize="0" autoFill="0" autoLine="0" autoPict="0" macro="[1]!Sheet1.deleteRow">
                <anchor moveWithCells="1" sizeWithCells="1">
                  <from>
                    <xdr:col>6</xdr:col>
                    <xdr:colOff>0</xdr:colOff>
                    <xdr:row>645</xdr:row>
                    <xdr:rowOff>0</xdr:rowOff>
                  </from>
                  <to>
                    <xdr:col>7</xdr:col>
                    <xdr:colOff>0</xdr:colOff>
                    <xdr:row>645</xdr:row>
                    <xdr:rowOff>133350</xdr:rowOff>
                  </to>
                </anchor>
              </controlPr>
            </control>
          </mc:Choice>
        </mc:AlternateContent>
        <mc:AlternateContent xmlns:mc="http://schemas.openxmlformats.org/markup-compatibility/2006">
          <mc:Choice Requires="x14">
            <control shapeId="1291" r:id="rId270" name="Button 267">
              <controlPr defaultSize="0" autoFill="0" autoLine="0" autoPict="0" macro="[1]!Sheet1.deleteProcedure">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292" r:id="rId271" name="Button 268">
              <controlPr defaultSize="0" autoFill="0" autoLine="0" autoPict="0" macro="[1]!Sheet1.InsertNewTabl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293" r:id="rId272" name="Button 269">
              <controlPr defaultSize="0" autoFill="0" autoLine="0" autoPict="0" macro="[1]!Sheet1.deleteRow">
                <anchor moveWithCells="1" sizeWithCells="1">
                  <from>
                    <xdr:col>6</xdr:col>
                    <xdr:colOff>0</xdr:colOff>
                    <xdr:row>656</xdr:row>
                    <xdr:rowOff>0</xdr:rowOff>
                  </from>
                  <to>
                    <xdr:col>7</xdr:col>
                    <xdr:colOff>0</xdr:colOff>
                    <xdr:row>656</xdr:row>
                    <xdr:rowOff>133350</xdr:rowOff>
                  </to>
                </anchor>
              </controlPr>
            </control>
          </mc:Choice>
        </mc:AlternateContent>
        <mc:AlternateContent xmlns:mc="http://schemas.openxmlformats.org/markup-compatibility/2006">
          <mc:Choice Requires="x14">
            <control shapeId="1294" r:id="rId273" name="Button 270">
              <controlPr defaultSize="0" autoFill="0" autoLine="0" autoPict="0" macro="[1]!Sheet1.deleteRow">
                <anchor moveWithCells="1" sizeWithCells="1">
                  <from>
                    <xdr:col>6</xdr:col>
                    <xdr:colOff>0</xdr:colOff>
                    <xdr:row>657</xdr:row>
                    <xdr:rowOff>0</xdr:rowOff>
                  </from>
                  <to>
                    <xdr:col>7</xdr:col>
                    <xdr:colOff>0</xdr:colOff>
                    <xdr:row>657</xdr:row>
                    <xdr:rowOff>133350</xdr:rowOff>
                  </to>
                </anchor>
              </controlPr>
            </control>
          </mc:Choice>
        </mc:AlternateContent>
        <mc:AlternateContent xmlns:mc="http://schemas.openxmlformats.org/markup-compatibility/2006">
          <mc:Choice Requires="x14">
            <control shapeId="1295" r:id="rId274" name="Button 271">
              <controlPr defaultSize="0" autoFill="0" autoLine="0" autoPict="0" macro="[1]!Sheet1.deleteRow">
                <anchor moveWithCells="1" sizeWithCells="1">
                  <from>
                    <xdr:col>6</xdr:col>
                    <xdr:colOff>0</xdr:colOff>
                    <xdr:row>658</xdr:row>
                    <xdr:rowOff>0</xdr:rowOff>
                  </from>
                  <to>
                    <xdr:col>7</xdr:col>
                    <xdr:colOff>0</xdr:colOff>
                    <xdr:row>658</xdr:row>
                    <xdr:rowOff>133350</xdr:rowOff>
                  </to>
                </anchor>
              </controlPr>
            </control>
          </mc:Choice>
        </mc:AlternateContent>
        <mc:AlternateContent xmlns:mc="http://schemas.openxmlformats.org/markup-compatibility/2006">
          <mc:Choice Requires="x14">
            <control shapeId="1296" r:id="rId275" name="Button 272">
              <controlPr defaultSize="0" autoFill="0" autoLine="0" autoPict="0" macro="[1]!Sheet1.deleteRow">
                <anchor moveWithCells="1" sizeWithCells="1">
                  <from>
                    <xdr:col>6</xdr:col>
                    <xdr:colOff>0</xdr:colOff>
                    <xdr:row>659</xdr:row>
                    <xdr:rowOff>0</xdr:rowOff>
                  </from>
                  <to>
                    <xdr:col>7</xdr:col>
                    <xdr:colOff>0</xdr:colOff>
                    <xdr:row>659</xdr:row>
                    <xdr:rowOff>133350</xdr:rowOff>
                  </to>
                </anchor>
              </controlPr>
            </control>
          </mc:Choice>
        </mc:AlternateContent>
        <mc:AlternateContent xmlns:mc="http://schemas.openxmlformats.org/markup-compatibility/2006">
          <mc:Choice Requires="x14">
            <control shapeId="1297" r:id="rId276" name="Button 273">
              <controlPr defaultSize="0" autoFill="0" autoLine="0" autoPict="0" macro="[1]!Sheet1.deleteRow">
                <anchor moveWithCells="1" sizeWithCells="1">
                  <from>
                    <xdr:col>6</xdr:col>
                    <xdr:colOff>0</xdr:colOff>
                    <xdr:row>660</xdr:row>
                    <xdr:rowOff>0</xdr:rowOff>
                  </from>
                  <to>
                    <xdr:col>7</xdr:col>
                    <xdr:colOff>0</xdr:colOff>
                    <xdr:row>660</xdr:row>
                    <xdr:rowOff>133350</xdr:rowOff>
                  </to>
                </anchor>
              </controlPr>
            </control>
          </mc:Choice>
        </mc:AlternateContent>
        <mc:AlternateContent xmlns:mc="http://schemas.openxmlformats.org/markup-compatibility/2006">
          <mc:Choice Requires="x14">
            <control shapeId="1298" r:id="rId277" name="Button 274">
              <controlPr defaultSize="0" autoFill="0" autoLine="0" autoPict="0" macro="[1]!Sheet1.deleteRow">
                <anchor moveWithCells="1" sizeWithCells="1">
                  <from>
                    <xdr:col>6</xdr:col>
                    <xdr:colOff>0</xdr:colOff>
                    <xdr:row>661</xdr:row>
                    <xdr:rowOff>0</xdr:rowOff>
                  </from>
                  <to>
                    <xdr:col>7</xdr:col>
                    <xdr:colOff>0</xdr:colOff>
                    <xdr:row>661</xdr:row>
                    <xdr:rowOff>133350</xdr:rowOff>
                  </to>
                </anchor>
              </controlPr>
            </control>
          </mc:Choice>
        </mc:AlternateContent>
        <mc:AlternateContent xmlns:mc="http://schemas.openxmlformats.org/markup-compatibility/2006">
          <mc:Choice Requires="x14">
            <control shapeId="1299" r:id="rId278" name="Button 275">
              <controlPr defaultSize="0" autoFill="0" autoLine="0" autoPict="0" macro="[1]!Sheet1.deleteRow">
                <anchor moveWithCells="1" sizeWithCells="1">
                  <from>
                    <xdr:col>6</xdr:col>
                    <xdr:colOff>0</xdr:colOff>
                    <xdr:row>662</xdr:row>
                    <xdr:rowOff>0</xdr:rowOff>
                  </from>
                  <to>
                    <xdr:col>7</xdr:col>
                    <xdr:colOff>0</xdr:colOff>
                    <xdr:row>662</xdr:row>
                    <xdr:rowOff>133350</xdr:rowOff>
                  </to>
                </anchor>
              </controlPr>
            </control>
          </mc:Choice>
        </mc:AlternateContent>
        <mc:AlternateContent xmlns:mc="http://schemas.openxmlformats.org/markup-compatibility/2006">
          <mc:Choice Requires="x14">
            <control shapeId="1300" r:id="rId279" name="Button 276">
              <controlPr defaultSize="0" autoFill="0" autoLine="0" autoPict="0" macro="[1]!Sheet1.deleteRow">
                <anchor moveWithCells="1" sizeWithCells="1">
                  <from>
                    <xdr:col>6</xdr:col>
                    <xdr:colOff>0</xdr:colOff>
                    <xdr:row>663</xdr:row>
                    <xdr:rowOff>0</xdr:rowOff>
                  </from>
                  <to>
                    <xdr:col>7</xdr:col>
                    <xdr:colOff>0</xdr:colOff>
                    <xdr:row>663</xdr:row>
                    <xdr:rowOff>133350</xdr:rowOff>
                  </to>
                </anchor>
              </controlPr>
            </control>
          </mc:Choice>
        </mc:AlternateContent>
        <mc:AlternateContent xmlns:mc="http://schemas.openxmlformats.org/markup-compatibility/2006">
          <mc:Choice Requires="x14">
            <control shapeId="1301" r:id="rId280" name="Button 277">
              <controlPr defaultSize="0" autoFill="0" autoLine="0" autoPict="0" macro="[1]!Sheet1.deleteRow">
                <anchor moveWithCells="1" sizeWithCells="1">
                  <from>
                    <xdr:col>6</xdr:col>
                    <xdr:colOff>0</xdr:colOff>
                    <xdr:row>664</xdr:row>
                    <xdr:rowOff>0</xdr:rowOff>
                  </from>
                  <to>
                    <xdr:col>7</xdr:col>
                    <xdr:colOff>0</xdr:colOff>
                    <xdr:row>664</xdr:row>
                    <xdr:rowOff>133350</xdr:rowOff>
                  </to>
                </anchor>
              </controlPr>
            </control>
          </mc:Choice>
        </mc:AlternateContent>
        <mc:AlternateContent xmlns:mc="http://schemas.openxmlformats.org/markup-compatibility/2006">
          <mc:Choice Requires="x14">
            <control shapeId="1302" r:id="rId281" name="Button 278">
              <controlPr defaultSize="0" autoFill="0" autoLine="0" autoPict="0" macro="[1]!Sheet1.deleteRow">
                <anchor moveWithCells="1" sizeWithCells="1">
                  <from>
                    <xdr:col>6</xdr:col>
                    <xdr:colOff>0</xdr:colOff>
                    <xdr:row>665</xdr:row>
                    <xdr:rowOff>0</xdr:rowOff>
                  </from>
                  <to>
                    <xdr:col>7</xdr:col>
                    <xdr:colOff>0</xdr:colOff>
                    <xdr:row>665</xdr:row>
                    <xdr:rowOff>133350</xdr:rowOff>
                  </to>
                </anchor>
              </controlPr>
            </control>
          </mc:Choice>
        </mc:AlternateContent>
        <mc:AlternateContent xmlns:mc="http://schemas.openxmlformats.org/markup-compatibility/2006">
          <mc:Choice Requires="x14">
            <control shapeId="1303" r:id="rId282" name="Button 279">
              <controlPr defaultSize="0" autoFill="0" autoLine="0" autoPict="0" macro="[1]!Sheet1.deleteProcedure">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304" r:id="rId283" name="Button 280">
              <controlPr defaultSize="0" autoFill="0" autoLine="0" autoPict="0" macro="[1]!Sheet1.InsertNewTabl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305" r:id="rId284" name="Button 281">
              <controlPr defaultSize="0" autoFill="0" autoLine="0" autoPict="0" macro="[1]!Sheet1.deleteRow">
                <anchor moveWithCells="1" sizeWithCells="1">
                  <from>
                    <xdr:col>6</xdr:col>
                    <xdr:colOff>0</xdr:colOff>
                    <xdr:row>676</xdr:row>
                    <xdr:rowOff>0</xdr:rowOff>
                  </from>
                  <to>
                    <xdr:col>7</xdr:col>
                    <xdr:colOff>0</xdr:colOff>
                    <xdr:row>676</xdr:row>
                    <xdr:rowOff>133350</xdr:rowOff>
                  </to>
                </anchor>
              </controlPr>
            </control>
          </mc:Choice>
        </mc:AlternateContent>
        <mc:AlternateContent xmlns:mc="http://schemas.openxmlformats.org/markup-compatibility/2006">
          <mc:Choice Requires="x14">
            <control shapeId="1306" r:id="rId285" name="Button 282">
              <controlPr defaultSize="0" autoFill="0" autoLine="0" autoPict="0" macro="[1]!Sheet1.deleteRow">
                <anchor moveWithCells="1" sizeWithCells="1">
                  <from>
                    <xdr:col>6</xdr:col>
                    <xdr:colOff>0</xdr:colOff>
                    <xdr:row>677</xdr:row>
                    <xdr:rowOff>0</xdr:rowOff>
                  </from>
                  <to>
                    <xdr:col>7</xdr:col>
                    <xdr:colOff>0</xdr:colOff>
                    <xdr:row>677</xdr:row>
                    <xdr:rowOff>133350</xdr:rowOff>
                  </to>
                </anchor>
              </controlPr>
            </control>
          </mc:Choice>
        </mc:AlternateContent>
        <mc:AlternateContent xmlns:mc="http://schemas.openxmlformats.org/markup-compatibility/2006">
          <mc:Choice Requires="x14">
            <control shapeId="1307" r:id="rId286" name="Button 283">
              <controlPr defaultSize="0" autoFill="0" autoLine="0" autoPict="0" macro="[1]!Sheet1.deleteRow">
                <anchor moveWithCells="1" sizeWithCells="1">
                  <from>
                    <xdr:col>6</xdr:col>
                    <xdr:colOff>0</xdr:colOff>
                    <xdr:row>678</xdr:row>
                    <xdr:rowOff>0</xdr:rowOff>
                  </from>
                  <to>
                    <xdr:col>7</xdr:col>
                    <xdr:colOff>0</xdr:colOff>
                    <xdr:row>678</xdr:row>
                    <xdr:rowOff>133350</xdr:rowOff>
                  </to>
                </anchor>
              </controlPr>
            </control>
          </mc:Choice>
        </mc:AlternateContent>
        <mc:AlternateContent xmlns:mc="http://schemas.openxmlformats.org/markup-compatibility/2006">
          <mc:Choice Requires="x14">
            <control shapeId="1308" r:id="rId287" name="Button 284">
              <controlPr defaultSize="0" autoFill="0" autoLine="0" autoPict="0" macro="[1]!Sheet1.deleteRow">
                <anchor moveWithCells="1" sizeWithCells="1">
                  <from>
                    <xdr:col>6</xdr:col>
                    <xdr:colOff>0</xdr:colOff>
                    <xdr:row>679</xdr:row>
                    <xdr:rowOff>0</xdr:rowOff>
                  </from>
                  <to>
                    <xdr:col>7</xdr:col>
                    <xdr:colOff>0</xdr:colOff>
                    <xdr:row>679</xdr:row>
                    <xdr:rowOff>133350</xdr:rowOff>
                  </to>
                </anchor>
              </controlPr>
            </control>
          </mc:Choice>
        </mc:AlternateContent>
        <mc:AlternateContent xmlns:mc="http://schemas.openxmlformats.org/markup-compatibility/2006">
          <mc:Choice Requires="x14">
            <control shapeId="1309" r:id="rId288" name="Button 285">
              <controlPr defaultSize="0" autoFill="0" autoLine="0" autoPict="0" macro="[1]!Sheet1.deleteRow">
                <anchor moveWithCells="1" sizeWithCells="1">
                  <from>
                    <xdr:col>6</xdr:col>
                    <xdr:colOff>0</xdr:colOff>
                    <xdr:row>680</xdr:row>
                    <xdr:rowOff>0</xdr:rowOff>
                  </from>
                  <to>
                    <xdr:col>7</xdr:col>
                    <xdr:colOff>0</xdr:colOff>
                    <xdr:row>680</xdr:row>
                    <xdr:rowOff>133350</xdr:rowOff>
                  </to>
                </anchor>
              </controlPr>
            </control>
          </mc:Choice>
        </mc:AlternateContent>
        <mc:AlternateContent xmlns:mc="http://schemas.openxmlformats.org/markup-compatibility/2006">
          <mc:Choice Requires="x14">
            <control shapeId="1310" r:id="rId289" name="Button 286">
              <controlPr defaultSize="0" autoFill="0" autoLine="0" autoPict="0" macro="[1]!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311" r:id="rId290" name="Button 287">
              <controlPr defaultSize="0" autoFill="0" autoLine="0" autoPict="0" macro="[1]!Sheet1.InsertNewTabl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312" r:id="rId291" name="Button 288">
              <controlPr defaultSize="0" autoFill="0" autoLine="0" autoPict="0" macro="[1]!Sheet1.deleteRow">
                <anchor moveWithCells="1" sizeWithCells="1">
                  <from>
                    <xdr:col>6</xdr:col>
                    <xdr:colOff>0</xdr:colOff>
                    <xdr:row>691</xdr:row>
                    <xdr:rowOff>0</xdr:rowOff>
                  </from>
                  <to>
                    <xdr:col>7</xdr:col>
                    <xdr:colOff>0</xdr:colOff>
                    <xdr:row>691</xdr:row>
                    <xdr:rowOff>133350</xdr:rowOff>
                  </to>
                </anchor>
              </controlPr>
            </control>
          </mc:Choice>
        </mc:AlternateContent>
        <mc:AlternateContent xmlns:mc="http://schemas.openxmlformats.org/markup-compatibility/2006">
          <mc:Choice Requires="x14">
            <control shapeId="1313" r:id="rId292" name="Button 289">
              <controlPr defaultSize="0" autoFill="0" autoLine="0" autoPict="0" macro="[1]!Sheet1.deleteRow">
                <anchor moveWithCells="1" sizeWithCells="1">
                  <from>
                    <xdr:col>6</xdr:col>
                    <xdr:colOff>0</xdr:colOff>
                    <xdr:row>692</xdr:row>
                    <xdr:rowOff>0</xdr:rowOff>
                  </from>
                  <to>
                    <xdr:col>7</xdr:col>
                    <xdr:colOff>0</xdr:colOff>
                    <xdr:row>692</xdr:row>
                    <xdr:rowOff>133350</xdr:rowOff>
                  </to>
                </anchor>
              </controlPr>
            </control>
          </mc:Choice>
        </mc:AlternateContent>
        <mc:AlternateContent xmlns:mc="http://schemas.openxmlformats.org/markup-compatibility/2006">
          <mc:Choice Requires="x14">
            <control shapeId="1314" r:id="rId293" name="Button 290">
              <controlPr defaultSize="0" autoFill="0" autoLine="0" autoPict="0" macro="[1]!Sheet1.deleteRow">
                <anchor moveWithCells="1" sizeWithCells="1">
                  <from>
                    <xdr:col>6</xdr:col>
                    <xdr:colOff>0</xdr:colOff>
                    <xdr:row>693</xdr:row>
                    <xdr:rowOff>0</xdr:rowOff>
                  </from>
                  <to>
                    <xdr:col>7</xdr:col>
                    <xdr:colOff>0</xdr:colOff>
                    <xdr:row>693</xdr:row>
                    <xdr:rowOff>133350</xdr:rowOff>
                  </to>
                </anchor>
              </controlPr>
            </control>
          </mc:Choice>
        </mc:AlternateContent>
        <mc:AlternateContent xmlns:mc="http://schemas.openxmlformats.org/markup-compatibility/2006">
          <mc:Choice Requires="x14">
            <control shapeId="1315" r:id="rId294" name="Button 291">
              <controlPr defaultSize="0" autoFill="0" autoLine="0" autoPict="0" macro="[1]!Sheet1.deleteRow">
                <anchor moveWithCells="1" sizeWithCells="1">
                  <from>
                    <xdr:col>6</xdr:col>
                    <xdr:colOff>0</xdr:colOff>
                    <xdr:row>694</xdr:row>
                    <xdr:rowOff>0</xdr:rowOff>
                  </from>
                  <to>
                    <xdr:col>7</xdr:col>
                    <xdr:colOff>0</xdr:colOff>
                    <xdr:row>694</xdr:row>
                    <xdr:rowOff>133350</xdr:rowOff>
                  </to>
                </anchor>
              </controlPr>
            </control>
          </mc:Choice>
        </mc:AlternateContent>
        <mc:AlternateContent xmlns:mc="http://schemas.openxmlformats.org/markup-compatibility/2006">
          <mc:Choice Requires="x14">
            <control shapeId="1316" r:id="rId295" name="Button 292">
              <controlPr defaultSize="0" autoFill="0" autoLine="0" autoPict="0" macro="[1]!Sheet1.deleteRow">
                <anchor moveWithCells="1" sizeWithCells="1">
                  <from>
                    <xdr:col>6</xdr:col>
                    <xdr:colOff>0</xdr:colOff>
                    <xdr:row>695</xdr:row>
                    <xdr:rowOff>0</xdr:rowOff>
                  </from>
                  <to>
                    <xdr:col>7</xdr:col>
                    <xdr:colOff>0</xdr:colOff>
                    <xdr:row>695</xdr:row>
                    <xdr:rowOff>133350</xdr:rowOff>
                  </to>
                </anchor>
              </controlPr>
            </control>
          </mc:Choice>
        </mc:AlternateContent>
        <mc:AlternateContent xmlns:mc="http://schemas.openxmlformats.org/markup-compatibility/2006">
          <mc:Choice Requires="x14">
            <control shapeId="1317" r:id="rId296" name="Button 293">
              <controlPr defaultSize="0" autoFill="0" autoLine="0" autoPict="0" macro="[1]!Sheet1.deleteRow">
                <anchor moveWithCells="1" sizeWithCells="1">
                  <from>
                    <xdr:col>6</xdr:col>
                    <xdr:colOff>0</xdr:colOff>
                    <xdr:row>696</xdr:row>
                    <xdr:rowOff>0</xdr:rowOff>
                  </from>
                  <to>
                    <xdr:col>7</xdr:col>
                    <xdr:colOff>0</xdr:colOff>
                    <xdr:row>696</xdr:row>
                    <xdr:rowOff>133350</xdr:rowOff>
                  </to>
                </anchor>
              </controlPr>
            </control>
          </mc:Choice>
        </mc:AlternateContent>
        <mc:AlternateContent xmlns:mc="http://schemas.openxmlformats.org/markup-compatibility/2006">
          <mc:Choice Requires="x14">
            <control shapeId="1318" r:id="rId297" name="Button 294">
              <controlPr defaultSize="0" autoFill="0" autoLine="0" autoPict="0" macro="[1]!Sheet1.deleteRow">
                <anchor moveWithCells="1" sizeWithCells="1">
                  <from>
                    <xdr:col>6</xdr:col>
                    <xdr:colOff>0</xdr:colOff>
                    <xdr:row>697</xdr:row>
                    <xdr:rowOff>0</xdr:rowOff>
                  </from>
                  <to>
                    <xdr:col>7</xdr:col>
                    <xdr:colOff>0</xdr:colOff>
                    <xdr:row>697</xdr:row>
                    <xdr:rowOff>133350</xdr:rowOff>
                  </to>
                </anchor>
              </controlPr>
            </control>
          </mc:Choice>
        </mc:AlternateContent>
        <mc:AlternateContent xmlns:mc="http://schemas.openxmlformats.org/markup-compatibility/2006">
          <mc:Choice Requires="x14">
            <control shapeId="1319" r:id="rId298" name="Button 295">
              <controlPr defaultSize="0" autoFill="0" autoLine="0" autoPict="0" macro="[1]!Sheet1.deleteRow">
                <anchor moveWithCells="1" sizeWithCells="1">
                  <from>
                    <xdr:col>6</xdr:col>
                    <xdr:colOff>0</xdr:colOff>
                    <xdr:row>698</xdr:row>
                    <xdr:rowOff>0</xdr:rowOff>
                  </from>
                  <to>
                    <xdr:col>7</xdr:col>
                    <xdr:colOff>0</xdr:colOff>
                    <xdr:row>698</xdr:row>
                    <xdr:rowOff>133350</xdr:rowOff>
                  </to>
                </anchor>
              </controlPr>
            </control>
          </mc:Choice>
        </mc:AlternateContent>
        <mc:AlternateContent xmlns:mc="http://schemas.openxmlformats.org/markup-compatibility/2006">
          <mc:Choice Requires="x14">
            <control shapeId="1320" r:id="rId299" name="Button 296">
              <controlPr defaultSize="0" autoFill="0" autoLine="0" autoPict="0" macro="[1]!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321" r:id="rId300" name="Button 297">
              <controlPr defaultSize="0" autoFill="0" autoLine="0" autoPict="0" macro="[1]!Sheet1.InsertNewTabl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322" r:id="rId301" name="Button 298">
              <controlPr defaultSize="0" autoFill="0" autoLine="0" autoPict="0" macro="[1]!Sheet1.deleteRow">
                <anchor moveWithCells="1" sizeWithCells="1">
                  <from>
                    <xdr:col>6</xdr:col>
                    <xdr:colOff>0</xdr:colOff>
                    <xdr:row>709</xdr:row>
                    <xdr:rowOff>0</xdr:rowOff>
                  </from>
                  <to>
                    <xdr:col>7</xdr:col>
                    <xdr:colOff>0</xdr:colOff>
                    <xdr:row>709</xdr:row>
                    <xdr:rowOff>133350</xdr:rowOff>
                  </to>
                </anchor>
              </controlPr>
            </control>
          </mc:Choice>
        </mc:AlternateContent>
        <mc:AlternateContent xmlns:mc="http://schemas.openxmlformats.org/markup-compatibility/2006">
          <mc:Choice Requires="x14">
            <control shapeId="1323" r:id="rId302" name="Button 299">
              <controlPr defaultSize="0" autoFill="0" autoLine="0" autoPict="0" macro="[1]!Sheet1.deleteRow">
                <anchor moveWithCells="1" sizeWithCells="1">
                  <from>
                    <xdr:col>6</xdr:col>
                    <xdr:colOff>0</xdr:colOff>
                    <xdr:row>710</xdr:row>
                    <xdr:rowOff>0</xdr:rowOff>
                  </from>
                  <to>
                    <xdr:col>7</xdr:col>
                    <xdr:colOff>0</xdr:colOff>
                    <xdr:row>710</xdr:row>
                    <xdr:rowOff>133350</xdr:rowOff>
                  </to>
                </anchor>
              </controlPr>
            </control>
          </mc:Choice>
        </mc:AlternateContent>
        <mc:AlternateContent xmlns:mc="http://schemas.openxmlformats.org/markup-compatibility/2006">
          <mc:Choice Requires="x14">
            <control shapeId="1324" r:id="rId303" name="Button 300">
              <controlPr defaultSize="0" autoFill="0" autoLine="0" autoPict="0" macro="[1]!Sheet1.deleteRow">
                <anchor moveWithCells="1" sizeWithCells="1">
                  <from>
                    <xdr:col>6</xdr:col>
                    <xdr:colOff>0</xdr:colOff>
                    <xdr:row>711</xdr:row>
                    <xdr:rowOff>0</xdr:rowOff>
                  </from>
                  <to>
                    <xdr:col>7</xdr:col>
                    <xdr:colOff>0</xdr:colOff>
                    <xdr:row>711</xdr:row>
                    <xdr:rowOff>133350</xdr:rowOff>
                  </to>
                </anchor>
              </controlPr>
            </control>
          </mc:Choice>
        </mc:AlternateContent>
        <mc:AlternateContent xmlns:mc="http://schemas.openxmlformats.org/markup-compatibility/2006">
          <mc:Choice Requires="x14">
            <control shapeId="1325" r:id="rId304" name="Button 301">
              <controlPr defaultSize="0" autoFill="0" autoLine="0" autoPict="0" macro="[1]!Sheet1.deleteRow">
                <anchor moveWithCells="1" sizeWithCells="1">
                  <from>
                    <xdr:col>6</xdr:col>
                    <xdr:colOff>0</xdr:colOff>
                    <xdr:row>712</xdr:row>
                    <xdr:rowOff>0</xdr:rowOff>
                  </from>
                  <to>
                    <xdr:col>7</xdr:col>
                    <xdr:colOff>0</xdr:colOff>
                    <xdr:row>712</xdr:row>
                    <xdr:rowOff>133350</xdr:rowOff>
                  </to>
                </anchor>
              </controlPr>
            </control>
          </mc:Choice>
        </mc:AlternateContent>
        <mc:AlternateContent xmlns:mc="http://schemas.openxmlformats.org/markup-compatibility/2006">
          <mc:Choice Requires="x14">
            <control shapeId="1326" r:id="rId305" name="Button 302">
              <controlPr defaultSize="0" autoFill="0" autoLine="0" autoPict="0" macro="[1]!Sheet1.deleteRow">
                <anchor moveWithCells="1" sizeWithCells="1">
                  <from>
                    <xdr:col>6</xdr:col>
                    <xdr:colOff>0</xdr:colOff>
                    <xdr:row>713</xdr:row>
                    <xdr:rowOff>0</xdr:rowOff>
                  </from>
                  <to>
                    <xdr:col>7</xdr:col>
                    <xdr:colOff>0</xdr:colOff>
                    <xdr:row>713</xdr:row>
                    <xdr:rowOff>133350</xdr:rowOff>
                  </to>
                </anchor>
              </controlPr>
            </control>
          </mc:Choice>
        </mc:AlternateContent>
        <mc:AlternateContent xmlns:mc="http://schemas.openxmlformats.org/markup-compatibility/2006">
          <mc:Choice Requires="x14">
            <control shapeId="1327" r:id="rId306" name="Button 303">
              <controlPr defaultSize="0" autoFill="0" autoLine="0" autoPict="0" macro="[1]!Sheet1.deleteRow">
                <anchor moveWithCells="1" sizeWithCells="1">
                  <from>
                    <xdr:col>6</xdr:col>
                    <xdr:colOff>0</xdr:colOff>
                    <xdr:row>714</xdr:row>
                    <xdr:rowOff>0</xdr:rowOff>
                  </from>
                  <to>
                    <xdr:col>7</xdr:col>
                    <xdr:colOff>0</xdr:colOff>
                    <xdr:row>714</xdr:row>
                    <xdr:rowOff>133350</xdr:rowOff>
                  </to>
                </anchor>
              </controlPr>
            </control>
          </mc:Choice>
        </mc:AlternateContent>
        <mc:AlternateContent xmlns:mc="http://schemas.openxmlformats.org/markup-compatibility/2006">
          <mc:Choice Requires="x14">
            <control shapeId="1328" r:id="rId307" name="Button 304">
              <controlPr defaultSize="0" autoFill="0" autoLine="0" autoPict="0" macro="[1]!Sheet1.deleteRow">
                <anchor moveWithCells="1" sizeWithCells="1">
                  <from>
                    <xdr:col>6</xdr:col>
                    <xdr:colOff>0</xdr:colOff>
                    <xdr:row>715</xdr:row>
                    <xdr:rowOff>0</xdr:rowOff>
                  </from>
                  <to>
                    <xdr:col>7</xdr:col>
                    <xdr:colOff>0</xdr:colOff>
                    <xdr:row>715</xdr:row>
                    <xdr:rowOff>133350</xdr:rowOff>
                  </to>
                </anchor>
              </controlPr>
            </control>
          </mc:Choice>
        </mc:AlternateContent>
        <mc:AlternateContent xmlns:mc="http://schemas.openxmlformats.org/markup-compatibility/2006">
          <mc:Choice Requires="x14">
            <control shapeId="1329" r:id="rId308" name="Button 305">
              <controlPr defaultSize="0" autoFill="0" autoLine="0" autoPict="0" macro="[1]!Sheet1.deleteRow">
                <anchor moveWithCells="1" sizeWithCells="1">
                  <from>
                    <xdr:col>6</xdr:col>
                    <xdr:colOff>0</xdr:colOff>
                    <xdr:row>716</xdr:row>
                    <xdr:rowOff>0</xdr:rowOff>
                  </from>
                  <to>
                    <xdr:col>7</xdr:col>
                    <xdr:colOff>0</xdr:colOff>
                    <xdr:row>716</xdr:row>
                    <xdr:rowOff>133350</xdr:rowOff>
                  </to>
                </anchor>
              </controlPr>
            </control>
          </mc:Choice>
        </mc:AlternateContent>
        <mc:AlternateContent xmlns:mc="http://schemas.openxmlformats.org/markup-compatibility/2006">
          <mc:Choice Requires="x14">
            <control shapeId="1330" r:id="rId309" name="Button 306">
              <controlPr defaultSize="0" autoFill="0" autoLine="0" autoPict="0" macro="[1]!Sheet1.deleteProcedure">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331" r:id="rId310" name="Button 307">
              <controlPr defaultSize="0" autoFill="0" autoLine="0" autoPict="0" macro="[1]!Sheet1.InsertNewTabl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332" r:id="rId311" name="Button 308">
              <controlPr defaultSize="0" autoFill="0" autoLine="0" autoPict="0" macro="[1]!Sheet1.deleteRow">
                <anchor moveWithCells="1" sizeWithCells="1">
                  <from>
                    <xdr:col>6</xdr:col>
                    <xdr:colOff>0</xdr:colOff>
                    <xdr:row>727</xdr:row>
                    <xdr:rowOff>0</xdr:rowOff>
                  </from>
                  <to>
                    <xdr:col>7</xdr:col>
                    <xdr:colOff>0</xdr:colOff>
                    <xdr:row>727</xdr:row>
                    <xdr:rowOff>133350</xdr:rowOff>
                  </to>
                </anchor>
              </controlPr>
            </control>
          </mc:Choice>
        </mc:AlternateContent>
        <mc:AlternateContent xmlns:mc="http://schemas.openxmlformats.org/markup-compatibility/2006">
          <mc:Choice Requires="x14">
            <control shapeId="1333" r:id="rId312" name="Button 309">
              <controlPr defaultSize="0" autoFill="0" autoLine="0" autoPict="0" macro="[1]!Sheet1.deleteRow">
                <anchor moveWithCells="1" sizeWithCells="1">
                  <from>
                    <xdr:col>6</xdr:col>
                    <xdr:colOff>0</xdr:colOff>
                    <xdr:row>728</xdr:row>
                    <xdr:rowOff>0</xdr:rowOff>
                  </from>
                  <to>
                    <xdr:col>7</xdr:col>
                    <xdr:colOff>0</xdr:colOff>
                    <xdr:row>728</xdr:row>
                    <xdr:rowOff>133350</xdr:rowOff>
                  </to>
                </anchor>
              </controlPr>
            </control>
          </mc:Choice>
        </mc:AlternateContent>
        <mc:AlternateContent xmlns:mc="http://schemas.openxmlformats.org/markup-compatibility/2006">
          <mc:Choice Requires="x14">
            <control shapeId="1334" r:id="rId313" name="Button 310">
              <controlPr defaultSize="0" autoFill="0" autoLine="0" autoPict="0" macro="[1]!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335" r:id="rId314" name="Button 311">
              <controlPr defaultSize="0" autoFill="0" autoLine="0" autoPict="0" macro="[1]!Sheet1.InsertNewTabl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336" r:id="rId315" name="Button 312">
              <controlPr defaultSize="0" autoFill="0" autoLine="0" autoPict="0" macro="[1]!Sheet1.deleteRow">
                <anchor moveWithCells="1" sizeWithCells="1">
                  <from>
                    <xdr:col>6</xdr:col>
                    <xdr:colOff>0</xdr:colOff>
                    <xdr:row>739</xdr:row>
                    <xdr:rowOff>0</xdr:rowOff>
                  </from>
                  <to>
                    <xdr:col>7</xdr:col>
                    <xdr:colOff>0</xdr:colOff>
                    <xdr:row>739</xdr:row>
                    <xdr:rowOff>133350</xdr:rowOff>
                  </to>
                </anchor>
              </controlPr>
            </control>
          </mc:Choice>
        </mc:AlternateContent>
        <mc:AlternateContent xmlns:mc="http://schemas.openxmlformats.org/markup-compatibility/2006">
          <mc:Choice Requires="x14">
            <control shapeId="1337" r:id="rId316" name="Button 313">
              <controlPr defaultSize="0" autoFill="0" autoLine="0" autoPict="0" macro="[1]!Sheet1.deleteRow">
                <anchor moveWithCells="1" sizeWithCells="1">
                  <from>
                    <xdr:col>6</xdr:col>
                    <xdr:colOff>0</xdr:colOff>
                    <xdr:row>740</xdr:row>
                    <xdr:rowOff>0</xdr:rowOff>
                  </from>
                  <to>
                    <xdr:col>7</xdr:col>
                    <xdr:colOff>0</xdr:colOff>
                    <xdr:row>740</xdr:row>
                    <xdr:rowOff>133350</xdr:rowOff>
                  </to>
                </anchor>
              </controlPr>
            </control>
          </mc:Choice>
        </mc:AlternateContent>
        <mc:AlternateContent xmlns:mc="http://schemas.openxmlformats.org/markup-compatibility/2006">
          <mc:Choice Requires="x14">
            <control shapeId="1338" r:id="rId317" name="Button 314">
              <controlPr defaultSize="0" autoFill="0" autoLine="0" autoPict="0" macro="[1]!Sheet1.deleteRow">
                <anchor moveWithCells="1" sizeWithCells="1">
                  <from>
                    <xdr:col>6</xdr:col>
                    <xdr:colOff>0</xdr:colOff>
                    <xdr:row>741</xdr:row>
                    <xdr:rowOff>0</xdr:rowOff>
                  </from>
                  <to>
                    <xdr:col>7</xdr:col>
                    <xdr:colOff>0</xdr:colOff>
                    <xdr:row>741</xdr:row>
                    <xdr:rowOff>133350</xdr:rowOff>
                  </to>
                </anchor>
              </controlPr>
            </control>
          </mc:Choice>
        </mc:AlternateContent>
        <mc:AlternateContent xmlns:mc="http://schemas.openxmlformats.org/markup-compatibility/2006">
          <mc:Choice Requires="x14">
            <control shapeId="1339" r:id="rId318" name="Button 315">
              <controlPr defaultSize="0" autoFill="0" autoLine="0" autoPict="0" macro="[1]!Sheet1.deleteRow">
                <anchor moveWithCells="1" sizeWithCells="1">
                  <from>
                    <xdr:col>6</xdr:col>
                    <xdr:colOff>0</xdr:colOff>
                    <xdr:row>742</xdr:row>
                    <xdr:rowOff>0</xdr:rowOff>
                  </from>
                  <to>
                    <xdr:col>7</xdr:col>
                    <xdr:colOff>0</xdr:colOff>
                    <xdr:row>742</xdr:row>
                    <xdr:rowOff>133350</xdr:rowOff>
                  </to>
                </anchor>
              </controlPr>
            </control>
          </mc:Choice>
        </mc:AlternateContent>
        <mc:AlternateContent xmlns:mc="http://schemas.openxmlformats.org/markup-compatibility/2006">
          <mc:Choice Requires="x14">
            <control shapeId="1340" r:id="rId319" name="Button 316">
              <controlPr defaultSize="0" autoFill="0" autoLine="0" autoPict="0" macro="[1]!Sheet1.deleteRow">
                <anchor moveWithCells="1" sizeWithCells="1">
                  <from>
                    <xdr:col>6</xdr:col>
                    <xdr:colOff>0</xdr:colOff>
                    <xdr:row>743</xdr:row>
                    <xdr:rowOff>0</xdr:rowOff>
                  </from>
                  <to>
                    <xdr:col>7</xdr:col>
                    <xdr:colOff>0</xdr:colOff>
                    <xdr:row>743</xdr:row>
                    <xdr:rowOff>133350</xdr:rowOff>
                  </to>
                </anchor>
              </controlPr>
            </control>
          </mc:Choice>
        </mc:AlternateContent>
        <mc:AlternateContent xmlns:mc="http://schemas.openxmlformats.org/markup-compatibility/2006">
          <mc:Choice Requires="x14">
            <control shapeId="1341" r:id="rId320" name="Button 317">
              <controlPr defaultSize="0" autoFill="0" autoLine="0" autoPict="0" macro="[1]!Sheet1.deleteRow">
                <anchor moveWithCells="1" sizeWithCells="1">
                  <from>
                    <xdr:col>6</xdr:col>
                    <xdr:colOff>0</xdr:colOff>
                    <xdr:row>744</xdr:row>
                    <xdr:rowOff>0</xdr:rowOff>
                  </from>
                  <to>
                    <xdr:col>7</xdr:col>
                    <xdr:colOff>0</xdr:colOff>
                    <xdr:row>744</xdr:row>
                    <xdr:rowOff>133350</xdr:rowOff>
                  </to>
                </anchor>
              </controlPr>
            </control>
          </mc:Choice>
        </mc:AlternateContent>
        <mc:AlternateContent xmlns:mc="http://schemas.openxmlformats.org/markup-compatibility/2006">
          <mc:Choice Requires="x14">
            <control shapeId="1342" r:id="rId321" name="Button 318">
              <controlPr defaultSize="0" autoFill="0" autoLine="0" autoPict="0" macro="[1]!Sheet1.deleteRow">
                <anchor moveWithCells="1" sizeWithCells="1">
                  <from>
                    <xdr:col>6</xdr:col>
                    <xdr:colOff>0</xdr:colOff>
                    <xdr:row>745</xdr:row>
                    <xdr:rowOff>0</xdr:rowOff>
                  </from>
                  <to>
                    <xdr:col>7</xdr:col>
                    <xdr:colOff>0</xdr:colOff>
                    <xdr:row>745</xdr:row>
                    <xdr:rowOff>133350</xdr:rowOff>
                  </to>
                </anchor>
              </controlPr>
            </control>
          </mc:Choice>
        </mc:AlternateContent>
        <mc:AlternateContent xmlns:mc="http://schemas.openxmlformats.org/markup-compatibility/2006">
          <mc:Choice Requires="x14">
            <control shapeId="1343" r:id="rId322" name="Button 319">
              <controlPr defaultSize="0" autoFill="0" autoLine="0" autoPict="0" macro="[1]!Sheet1.deleteRow">
                <anchor moveWithCells="1" sizeWithCells="1">
                  <from>
                    <xdr:col>6</xdr:col>
                    <xdr:colOff>0</xdr:colOff>
                    <xdr:row>746</xdr:row>
                    <xdr:rowOff>0</xdr:rowOff>
                  </from>
                  <to>
                    <xdr:col>7</xdr:col>
                    <xdr:colOff>0</xdr:colOff>
                    <xdr:row>746</xdr:row>
                    <xdr:rowOff>133350</xdr:rowOff>
                  </to>
                </anchor>
              </controlPr>
            </control>
          </mc:Choice>
        </mc:AlternateContent>
        <mc:AlternateContent xmlns:mc="http://schemas.openxmlformats.org/markup-compatibility/2006">
          <mc:Choice Requires="x14">
            <control shapeId="1344" r:id="rId323" name="Button 320">
              <controlPr defaultSize="0" autoFill="0" autoLine="0" autoPict="0" macro="[1]!Sheet1.deleteRow">
                <anchor moveWithCells="1" sizeWithCells="1">
                  <from>
                    <xdr:col>6</xdr:col>
                    <xdr:colOff>0</xdr:colOff>
                    <xdr:row>747</xdr:row>
                    <xdr:rowOff>0</xdr:rowOff>
                  </from>
                  <to>
                    <xdr:col>7</xdr:col>
                    <xdr:colOff>0</xdr:colOff>
                    <xdr:row>747</xdr:row>
                    <xdr:rowOff>133350</xdr:rowOff>
                  </to>
                </anchor>
              </controlPr>
            </control>
          </mc:Choice>
        </mc:AlternateContent>
        <mc:AlternateContent xmlns:mc="http://schemas.openxmlformats.org/markup-compatibility/2006">
          <mc:Choice Requires="x14">
            <control shapeId="1345" r:id="rId324" name="Button 321">
              <controlPr defaultSize="0" autoFill="0" autoLine="0" autoPict="0" macro="[1]!Sheet1.deleteRow">
                <anchor moveWithCells="1" sizeWithCells="1">
                  <from>
                    <xdr:col>6</xdr:col>
                    <xdr:colOff>0</xdr:colOff>
                    <xdr:row>748</xdr:row>
                    <xdr:rowOff>0</xdr:rowOff>
                  </from>
                  <to>
                    <xdr:col>7</xdr:col>
                    <xdr:colOff>0</xdr:colOff>
                    <xdr:row>748</xdr:row>
                    <xdr:rowOff>133350</xdr:rowOff>
                  </to>
                </anchor>
              </controlPr>
            </control>
          </mc:Choice>
        </mc:AlternateContent>
        <mc:AlternateContent xmlns:mc="http://schemas.openxmlformats.org/markup-compatibility/2006">
          <mc:Choice Requires="x14">
            <control shapeId="1346" r:id="rId325" name="Button 322">
              <controlPr defaultSize="0" autoFill="0" autoLine="0" autoPict="0" macro="[1]!Sheet1.deleteRow">
                <anchor moveWithCells="1" sizeWithCells="1">
                  <from>
                    <xdr:col>6</xdr:col>
                    <xdr:colOff>0</xdr:colOff>
                    <xdr:row>749</xdr:row>
                    <xdr:rowOff>0</xdr:rowOff>
                  </from>
                  <to>
                    <xdr:col>7</xdr:col>
                    <xdr:colOff>0</xdr:colOff>
                    <xdr:row>749</xdr:row>
                    <xdr:rowOff>133350</xdr:rowOff>
                  </to>
                </anchor>
              </controlPr>
            </control>
          </mc:Choice>
        </mc:AlternateContent>
        <mc:AlternateContent xmlns:mc="http://schemas.openxmlformats.org/markup-compatibility/2006">
          <mc:Choice Requires="x14">
            <control shapeId="1347" r:id="rId326" name="Button 323">
              <controlPr defaultSize="0" autoFill="0" autoLine="0" autoPict="0" macro="[1]!Sheet1.deleteRow">
                <anchor moveWithCells="1" sizeWithCells="1">
                  <from>
                    <xdr:col>6</xdr:col>
                    <xdr:colOff>0</xdr:colOff>
                    <xdr:row>750</xdr:row>
                    <xdr:rowOff>0</xdr:rowOff>
                  </from>
                  <to>
                    <xdr:col>7</xdr:col>
                    <xdr:colOff>0</xdr:colOff>
                    <xdr:row>750</xdr:row>
                    <xdr:rowOff>133350</xdr:rowOff>
                  </to>
                </anchor>
              </controlPr>
            </control>
          </mc:Choice>
        </mc:AlternateContent>
        <mc:AlternateContent xmlns:mc="http://schemas.openxmlformats.org/markup-compatibility/2006">
          <mc:Choice Requires="x14">
            <control shapeId="1348" r:id="rId327" name="Button 324">
              <controlPr defaultSize="0" autoFill="0" autoLine="0" autoPict="0" macro="[1]!Sheet1.deleteRow">
                <anchor moveWithCells="1" sizeWithCells="1">
                  <from>
                    <xdr:col>6</xdr:col>
                    <xdr:colOff>0</xdr:colOff>
                    <xdr:row>751</xdr:row>
                    <xdr:rowOff>0</xdr:rowOff>
                  </from>
                  <to>
                    <xdr:col>7</xdr:col>
                    <xdr:colOff>0</xdr:colOff>
                    <xdr:row>751</xdr:row>
                    <xdr:rowOff>133350</xdr:rowOff>
                  </to>
                </anchor>
              </controlPr>
            </control>
          </mc:Choice>
        </mc:AlternateContent>
        <mc:AlternateContent xmlns:mc="http://schemas.openxmlformats.org/markup-compatibility/2006">
          <mc:Choice Requires="x14">
            <control shapeId="1349" r:id="rId328" name="Button 325">
              <controlPr defaultSize="0" autoFill="0" autoLine="0" autoPict="0" macro="[1]!Sheet1.deleteRow">
                <anchor moveWithCells="1" sizeWithCells="1">
                  <from>
                    <xdr:col>6</xdr:col>
                    <xdr:colOff>0</xdr:colOff>
                    <xdr:row>752</xdr:row>
                    <xdr:rowOff>0</xdr:rowOff>
                  </from>
                  <to>
                    <xdr:col>7</xdr:col>
                    <xdr:colOff>0</xdr:colOff>
                    <xdr:row>752</xdr:row>
                    <xdr:rowOff>133350</xdr:rowOff>
                  </to>
                </anchor>
              </controlPr>
            </control>
          </mc:Choice>
        </mc:AlternateContent>
        <mc:AlternateContent xmlns:mc="http://schemas.openxmlformats.org/markup-compatibility/2006">
          <mc:Choice Requires="x14">
            <control shapeId="1350" r:id="rId329" name="Button 326">
              <controlPr defaultSize="0" autoFill="0" autoLine="0" autoPict="0" macro="[1]!Sheet1.deleteRow">
                <anchor moveWithCells="1" sizeWithCells="1">
                  <from>
                    <xdr:col>6</xdr:col>
                    <xdr:colOff>0</xdr:colOff>
                    <xdr:row>753</xdr:row>
                    <xdr:rowOff>0</xdr:rowOff>
                  </from>
                  <to>
                    <xdr:col>7</xdr:col>
                    <xdr:colOff>0</xdr:colOff>
                    <xdr:row>753</xdr:row>
                    <xdr:rowOff>133350</xdr:rowOff>
                  </to>
                </anchor>
              </controlPr>
            </control>
          </mc:Choice>
        </mc:AlternateContent>
        <mc:AlternateContent xmlns:mc="http://schemas.openxmlformats.org/markup-compatibility/2006">
          <mc:Choice Requires="x14">
            <control shapeId="1351" r:id="rId330" name="Button 327">
              <controlPr defaultSize="0" autoFill="0" autoLine="0" autoPict="0" macro="[1]!Sheet1.deleteRow">
                <anchor moveWithCells="1" sizeWithCells="1">
                  <from>
                    <xdr:col>6</xdr:col>
                    <xdr:colOff>0</xdr:colOff>
                    <xdr:row>754</xdr:row>
                    <xdr:rowOff>0</xdr:rowOff>
                  </from>
                  <to>
                    <xdr:col>7</xdr:col>
                    <xdr:colOff>0</xdr:colOff>
                    <xdr:row>754</xdr:row>
                    <xdr:rowOff>133350</xdr:rowOff>
                  </to>
                </anchor>
              </controlPr>
            </control>
          </mc:Choice>
        </mc:AlternateContent>
        <mc:AlternateContent xmlns:mc="http://schemas.openxmlformats.org/markup-compatibility/2006">
          <mc:Choice Requires="x14">
            <control shapeId="1352" r:id="rId331" name="Button 328">
              <controlPr defaultSize="0" autoFill="0" autoLine="0" autoPict="0" macro="[1]!Sheet1.deleteRow">
                <anchor moveWithCells="1" sizeWithCells="1">
                  <from>
                    <xdr:col>6</xdr:col>
                    <xdr:colOff>0</xdr:colOff>
                    <xdr:row>755</xdr:row>
                    <xdr:rowOff>0</xdr:rowOff>
                  </from>
                  <to>
                    <xdr:col>7</xdr:col>
                    <xdr:colOff>0</xdr:colOff>
                    <xdr:row>755</xdr:row>
                    <xdr:rowOff>133350</xdr:rowOff>
                  </to>
                </anchor>
              </controlPr>
            </control>
          </mc:Choice>
        </mc:AlternateContent>
        <mc:AlternateContent xmlns:mc="http://schemas.openxmlformats.org/markup-compatibility/2006">
          <mc:Choice Requires="x14">
            <control shapeId="1353" r:id="rId332" name="Button 329">
              <controlPr defaultSize="0" autoFill="0" autoLine="0" autoPict="0" macro="[1]!Sheet1.deleteRow">
                <anchor moveWithCells="1" sizeWithCells="1">
                  <from>
                    <xdr:col>6</xdr:col>
                    <xdr:colOff>0</xdr:colOff>
                    <xdr:row>756</xdr:row>
                    <xdr:rowOff>0</xdr:rowOff>
                  </from>
                  <to>
                    <xdr:col>7</xdr:col>
                    <xdr:colOff>0</xdr:colOff>
                    <xdr:row>756</xdr:row>
                    <xdr:rowOff>133350</xdr:rowOff>
                  </to>
                </anchor>
              </controlPr>
            </control>
          </mc:Choice>
        </mc:AlternateContent>
        <mc:AlternateContent xmlns:mc="http://schemas.openxmlformats.org/markup-compatibility/2006">
          <mc:Choice Requires="x14">
            <control shapeId="1354" r:id="rId333" name="Button 330">
              <controlPr defaultSize="0" autoFill="0" autoLine="0" autoPict="0" macro="[1]!Sheet1.deleteRow">
                <anchor moveWithCells="1" sizeWithCells="1">
                  <from>
                    <xdr:col>6</xdr:col>
                    <xdr:colOff>0</xdr:colOff>
                    <xdr:row>757</xdr:row>
                    <xdr:rowOff>0</xdr:rowOff>
                  </from>
                  <to>
                    <xdr:col>7</xdr:col>
                    <xdr:colOff>0</xdr:colOff>
                    <xdr:row>757</xdr:row>
                    <xdr:rowOff>133350</xdr:rowOff>
                  </to>
                </anchor>
              </controlPr>
            </control>
          </mc:Choice>
        </mc:AlternateContent>
        <mc:AlternateContent xmlns:mc="http://schemas.openxmlformats.org/markup-compatibility/2006">
          <mc:Choice Requires="x14">
            <control shapeId="1355" r:id="rId334" name="Button 331">
              <controlPr defaultSize="0" autoFill="0" autoLine="0" autoPict="0" macro="[1]!Sheet1.deleteRow">
                <anchor moveWithCells="1" sizeWithCells="1">
                  <from>
                    <xdr:col>6</xdr:col>
                    <xdr:colOff>0</xdr:colOff>
                    <xdr:row>758</xdr:row>
                    <xdr:rowOff>0</xdr:rowOff>
                  </from>
                  <to>
                    <xdr:col>7</xdr:col>
                    <xdr:colOff>0</xdr:colOff>
                    <xdr:row>758</xdr:row>
                    <xdr:rowOff>133350</xdr:rowOff>
                  </to>
                </anchor>
              </controlPr>
            </control>
          </mc:Choice>
        </mc:AlternateContent>
        <mc:AlternateContent xmlns:mc="http://schemas.openxmlformats.org/markup-compatibility/2006">
          <mc:Choice Requires="x14">
            <control shapeId="1356" r:id="rId335" name="Button 332">
              <controlPr defaultSize="0" autoFill="0" autoLine="0" autoPict="0" macro="[1]!Sheet1.deleteRow">
                <anchor moveWithCells="1" sizeWithCells="1">
                  <from>
                    <xdr:col>6</xdr:col>
                    <xdr:colOff>0</xdr:colOff>
                    <xdr:row>759</xdr:row>
                    <xdr:rowOff>0</xdr:rowOff>
                  </from>
                  <to>
                    <xdr:col>7</xdr:col>
                    <xdr:colOff>0</xdr:colOff>
                    <xdr:row>759</xdr:row>
                    <xdr:rowOff>133350</xdr:rowOff>
                  </to>
                </anchor>
              </controlPr>
            </control>
          </mc:Choice>
        </mc:AlternateContent>
        <mc:AlternateContent xmlns:mc="http://schemas.openxmlformats.org/markup-compatibility/2006">
          <mc:Choice Requires="x14">
            <control shapeId="1357" r:id="rId336" name="Button 333">
              <controlPr defaultSize="0" autoFill="0" autoLine="0" autoPict="0" macro="[1]!Sheet1.deleteRow">
                <anchor moveWithCells="1" sizeWithCells="1">
                  <from>
                    <xdr:col>6</xdr:col>
                    <xdr:colOff>0</xdr:colOff>
                    <xdr:row>760</xdr:row>
                    <xdr:rowOff>0</xdr:rowOff>
                  </from>
                  <to>
                    <xdr:col>7</xdr:col>
                    <xdr:colOff>0</xdr:colOff>
                    <xdr:row>760</xdr:row>
                    <xdr:rowOff>133350</xdr:rowOff>
                  </to>
                </anchor>
              </controlPr>
            </control>
          </mc:Choice>
        </mc:AlternateContent>
        <mc:AlternateContent xmlns:mc="http://schemas.openxmlformats.org/markup-compatibility/2006">
          <mc:Choice Requires="x14">
            <control shapeId="1358" r:id="rId337" name="Button 334">
              <controlPr defaultSize="0" autoFill="0" autoLine="0" autoPict="0" macro="[1]!Sheet1.deleteRow">
                <anchor moveWithCells="1" sizeWithCells="1">
                  <from>
                    <xdr:col>6</xdr:col>
                    <xdr:colOff>0</xdr:colOff>
                    <xdr:row>761</xdr:row>
                    <xdr:rowOff>0</xdr:rowOff>
                  </from>
                  <to>
                    <xdr:col>7</xdr:col>
                    <xdr:colOff>0</xdr:colOff>
                    <xdr:row>761</xdr:row>
                    <xdr:rowOff>133350</xdr:rowOff>
                  </to>
                </anchor>
              </controlPr>
            </control>
          </mc:Choice>
        </mc:AlternateContent>
        <mc:AlternateContent xmlns:mc="http://schemas.openxmlformats.org/markup-compatibility/2006">
          <mc:Choice Requires="x14">
            <control shapeId="1359" r:id="rId338" name="Button 335">
              <controlPr defaultSize="0" autoFill="0" autoLine="0" autoPict="0" macro="[1]!Sheet1.deleteRow">
                <anchor moveWithCells="1" sizeWithCells="1">
                  <from>
                    <xdr:col>6</xdr:col>
                    <xdr:colOff>0</xdr:colOff>
                    <xdr:row>762</xdr:row>
                    <xdr:rowOff>0</xdr:rowOff>
                  </from>
                  <to>
                    <xdr:col>7</xdr:col>
                    <xdr:colOff>0</xdr:colOff>
                    <xdr:row>762</xdr:row>
                    <xdr:rowOff>133350</xdr:rowOff>
                  </to>
                </anchor>
              </controlPr>
            </control>
          </mc:Choice>
        </mc:AlternateContent>
        <mc:AlternateContent xmlns:mc="http://schemas.openxmlformats.org/markup-compatibility/2006">
          <mc:Choice Requires="x14">
            <control shapeId="1360" r:id="rId339" name="Button 336">
              <controlPr defaultSize="0" autoFill="0" autoLine="0" autoPict="0" macro="[1]!Sheet1.deleteRow">
                <anchor moveWithCells="1" sizeWithCells="1">
                  <from>
                    <xdr:col>6</xdr:col>
                    <xdr:colOff>0</xdr:colOff>
                    <xdr:row>763</xdr:row>
                    <xdr:rowOff>0</xdr:rowOff>
                  </from>
                  <to>
                    <xdr:col>7</xdr:col>
                    <xdr:colOff>0</xdr:colOff>
                    <xdr:row>763</xdr:row>
                    <xdr:rowOff>133350</xdr:rowOff>
                  </to>
                </anchor>
              </controlPr>
            </control>
          </mc:Choice>
        </mc:AlternateContent>
        <mc:AlternateContent xmlns:mc="http://schemas.openxmlformats.org/markup-compatibility/2006">
          <mc:Choice Requires="x14">
            <control shapeId="1361" r:id="rId340" name="Button 337">
              <controlPr defaultSize="0" autoFill="0" autoLine="0" autoPict="0" macro="[1]!Sheet1.deleteRow">
                <anchor moveWithCells="1" sizeWithCells="1">
                  <from>
                    <xdr:col>6</xdr:col>
                    <xdr:colOff>0</xdr:colOff>
                    <xdr:row>764</xdr:row>
                    <xdr:rowOff>0</xdr:rowOff>
                  </from>
                  <to>
                    <xdr:col>7</xdr:col>
                    <xdr:colOff>0</xdr:colOff>
                    <xdr:row>764</xdr:row>
                    <xdr:rowOff>133350</xdr:rowOff>
                  </to>
                </anchor>
              </controlPr>
            </control>
          </mc:Choice>
        </mc:AlternateContent>
        <mc:AlternateContent xmlns:mc="http://schemas.openxmlformats.org/markup-compatibility/2006">
          <mc:Choice Requires="x14">
            <control shapeId="1362" r:id="rId341" name="Button 338">
              <controlPr defaultSize="0" autoFill="0" autoLine="0" autoPict="0" macro="[1]!Sheet1.deleteRow">
                <anchor moveWithCells="1" sizeWithCells="1">
                  <from>
                    <xdr:col>6</xdr:col>
                    <xdr:colOff>0</xdr:colOff>
                    <xdr:row>765</xdr:row>
                    <xdr:rowOff>0</xdr:rowOff>
                  </from>
                  <to>
                    <xdr:col>7</xdr:col>
                    <xdr:colOff>0</xdr:colOff>
                    <xdr:row>765</xdr:row>
                    <xdr:rowOff>133350</xdr:rowOff>
                  </to>
                </anchor>
              </controlPr>
            </control>
          </mc:Choice>
        </mc:AlternateContent>
        <mc:AlternateContent xmlns:mc="http://schemas.openxmlformats.org/markup-compatibility/2006">
          <mc:Choice Requires="x14">
            <control shapeId="1363" r:id="rId342" name="Button 339">
              <controlPr defaultSize="0" autoFill="0" autoLine="0" autoPict="0" macro="[1]!Sheet1.deleteRow">
                <anchor moveWithCells="1" sizeWithCells="1">
                  <from>
                    <xdr:col>6</xdr:col>
                    <xdr:colOff>0</xdr:colOff>
                    <xdr:row>766</xdr:row>
                    <xdr:rowOff>0</xdr:rowOff>
                  </from>
                  <to>
                    <xdr:col>7</xdr:col>
                    <xdr:colOff>0</xdr:colOff>
                    <xdr:row>766</xdr:row>
                    <xdr:rowOff>133350</xdr:rowOff>
                  </to>
                </anchor>
              </controlPr>
            </control>
          </mc:Choice>
        </mc:AlternateContent>
        <mc:AlternateContent xmlns:mc="http://schemas.openxmlformats.org/markup-compatibility/2006">
          <mc:Choice Requires="x14">
            <control shapeId="1364" r:id="rId343" name="Button 340">
              <controlPr defaultSize="0" autoFill="0" autoLine="0" autoPict="0" macro="[1]!Sheet1.deleteRow">
                <anchor moveWithCells="1" sizeWithCells="1">
                  <from>
                    <xdr:col>6</xdr:col>
                    <xdr:colOff>0</xdr:colOff>
                    <xdr:row>767</xdr:row>
                    <xdr:rowOff>0</xdr:rowOff>
                  </from>
                  <to>
                    <xdr:col>7</xdr:col>
                    <xdr:colOff>0</xdr:colOff>
                    <xdr:row>767</xdr:row>
                    <xdr:rowOff>133350</xdr:rowOff>
                  </to>
                </anchor>
              </controlPr>
            </control>
          </mc:Choice>
        </mc:AlternateContent>
        <mc:AlternateContent xmlns:mc="http://schemas.openxmlformats.org/markup-compatibility/2006">
          <mc:Choice Requires="x14">
            <control shapeId="1365" r:id="rId344" name="Button 341">
              <controlPr defaultSize="0" autoFill="0" autoLine="0" autoPict="0" macro="[1]!Sheet1.deleteRow">
                <anchor moveWithCells="1" sizeWithCells="1">
                  <from>
                    <xdr:col>6</xdr:col>
                    <xdr:colOff>0</xdr:colOff>
                    <xdr:row>768</xdr:row>
                    <xdr:rowOff>0</xdr:rowOff>
                  </from>
                  <to>
                    <xdr:col>7</xdr:col>
                    <xdr:colOff>0</xdr:colOff>
                    <xdr:row>768</xdr:row>
                    <xdr:rowOff>133350</xdr:rowOff>
                  </to>
                </anchor>
              </controlPr>
            </control>
          </mc:Choice>
        </mc:AlternateContent>
        <mc:AlternateContent xmlns:mc="http://schemas.openxmlformats.org/markup-compatibility/2006">
          <mc:Choice Requires="x14">
            <control shapeId="1366" r:id="rId345" name="Button 342">
              <controlPr defaultSize="0" autoFill="0" autoLine="0" autoPict="0" macro="[1]!Sheet1.deleteRow">
                <anchor moveWithCells="1" sizeWithCells="1">
                  <from>
                    <xdr:col>6</xdr:col>
                    <xdr:colOff>0</xdr:colOff>
                    <xdr:row>769</xdr:row>
                    <xdr:rowOff>0</xdr:rowOff>
                  </from>
                  <to>
                    <xdr:col>7</xdr:col>
                    <xdr:colOff>0</xdr:colOff>
                    <xdr:row>769</xdr:row>
                    <xdr:rowOff>133350</xdr:rowOff>
                  </to>
                </anchor>
              </controlPr>
            </control>
          </mc:Choice>
        </mc:AlternateContent>
        <mc:AlternateContent xmlns:mc="http://schemas.openxmlformats.org/markup-compatibility/2006">
          <mc:Choice Requires="x14">
            <control shapeId="1367" r:id="rId346" name="Button 343">
              <controlPr defaultSize="0" autoFill="0" autoLine="0" autoPict="0" macro="[1]!Sheet1.deleteRow">
                <anchor moveWithCells="1" sizeWithCells="1">
                  <from>
                    <xdr:col>6</xdr:col>
                    <xdr:colOff>0</xdr:colOff>
                    <xdr:row>770</xdr:row>
                    <xdr:rowOff>0</xdr:rowOff>
                  </from>
                  <to>
                    <xdr:col>7</xdr:col>
                    <xdr:colOff>0</xdr:colOff>
                    <xdr:row>770</xdr:row>
                    <xdr:rowOff>133350</xdr:rowOff>
                  </to>
                </anchor>
              </controlPr>
            </control>
          </mc:Choice>
        </mc:AlternateContent>
        <mc:AlternateContent xmlns:mc="http://schemas.openxmlformats.org/markup-compatibility/2006">
          <mc:Choice Requires="x14">
            <control shapeId="1368" r:id="rId347" name="Button 344">
              <controlPr defaultSize="0" autoFill="0" autoLine="0" autoPict="0" macro="[1]!Sheet1.deleteRow">
                <anchor moveWithCells="1" sizeWithCells="1">
                  <from>
                    <xdr:col>6</xdr:col>
                    <xdr:colOff>0</xdr:colOff>
                    <xdr:row>771</xdr:row>
                    <xdr:rowOff>0</xdr:rowOff>
                  </from>
                  <to>
                    <xdr:col>7</xdr:col>
                    <xdr:colOff>0</xdr:colOff>
                    <xdr:row>771</xdr:row>
                    <xdr:rowOff>133350</xdr:rowOff>
                  </to>
                </anchor>
              </controlPr>
            </control>
          </mc:Choice>
        </mc:AlternateContent>
        <mc:AlternateContent xmlns:mc="http://schemas.openxmlformats.org/markup-compatibility/2006">
          <mc:Choice Requires="x14">
            <control shapeId="1369" r:id="rId348" name="Button 345">
              <controlPr defaultSize="0" autoFill="0" autoLine="0" autoPict="0" macro="[1]!Sheet1.deleteRow">
                <anchor moveWithCells="1" sizeWithCells="1">
                  <from>
                    <xdr:col>6</xdr:col>
                    <xdr:colOff>0</xdr:colOff>
                    <xdr:row>772</xdr:row>
                    <xdr:rowOff>0</xdr:rowOff>
                  </from>
                  <to>
                    <xdr:col>7</xdr:col>
                    <xdr:colOff>0</xdr:colOff>
                    <xdr:row>772</xdr:row>
                    <xdr:rowOff>133350</xdr:rowOff>
                  </to>
                </anchor>
              </controlPr>
            </control>
          </mc:Choice>
        </mc:AlternateContent>
        <mc:AlternateContent xmlns:mc="http://schemas.openxmlformats.org/markup-compatibility/2006">
          <mc:Choice Requires="x14">
            <control shapeId="1370" r:id="rId349" name="Button 346">
              <controlPr defaultSize="0" autoFill="0" autoLine="0" autoPict="0" macro="[1]!Sheet1.deleteRow">
                <anchor moveWithCells="1" sizeWithCells="1">
                  <from>
                    <xdr:col>6</xdr:col>
                    <xdr:colOff>0</xdr:colOff>
                    <xdr:row>773</xdr:row>
                    <xdr:rowOff>0</xdr:rowOff>
                  </from>
                  <to>
                    <xdr:col>7</xdr:col>
                    <xdr:colOff>0</xdr:colOff>
                    <xdr:row>773</xdr:row>
                    <xdr:rowOff>133350</xdr:rowOff>
                  </to>
                </anchor>
              </controlPr>
            </control>
          </mc:Choice>
        </mc:AlternateContent>
        <mc:AlternateContent xmlns:mc="http://schemas.openxmlformats.org/markup-compatibility/2006">
          <mc:Choice Requires="x14">
            <control shapeId="1371" r:id="rId350" name="Button 347">
              <controlPr defaultSize="0" autoFill="0" autoLine="0" autoPict="0" macro="[1]!Sheet1.deleteRow">
                <anchor moveWithCells="1" sizeWithCells="1">
                  <from>
                    <xdr:col>6</xdr:col>
                    <xdr:colOff>0</xdr:colOff>
                    <xdr:row>774</xdr:row>
                    <xdr:rowOff>0</xdr:rowOff>
                  </from>
                  <to>
                    <xdr:col>7</xdr:col>
                    <xdr:colOff>0</xdr:colOff>
                    <xdr:row>774</xdr:row>
                    <xdr:rowOff>133350</xdr:rowOff>
                  </to>
                </anchor>
              </controlPr>
            </control>
          </mc:Choice>
        </mc:AlternateContent>
        <mc:AlternateContent xmlns:mc="http://schemas.openxmlformats.org/markup-compatibility/2006">
          <mc:Choice Requires="x14">
            <control shapeId="1372" r:id="rId351" name="Button 348">
              <controlPr defaultSize="0" autoFill="0" autoLine="0" autoPict="0" macro="[1]!Sheet1.deleteRow">
                <anchor moveWithCells="1" sizeWithCells="1">
                  <from>
                    <xdr:col>6</xdr:col>
                    <xdr:colOff>0</xdr:colOff>
                    <xdr:row>775</xdr:row>
                    <xdr:rowOff>0</xdr:rowOff>
                  </from>
                  <to>
                    <xdr:col>7</xdr:col>
                    <xdr:colOff>0</xdr:colOff>
                    <xdr:row>775</xdr:row>
                    <xdr:rowOff>133350</xdr:rowOff>
                  </to>
                </anchor>
              </controlPr>
            </control>
          </mc:Choice>
        </mc:AlternateContent>
        <mc:AlternateContent xmlns:mc="http://schemas.openxmlformats.org/markup-compatibility/2006">
          <mc:Choice Requires="x14">
            <control shapeId="1373" r:id="rId352" name="Button 349">
              <controlPr defaultSize="0" autoFill="0" autoLine="0" autoPict="0" macro="[1]!Sheet1.deleteRow">
                <anchor moveWithCells="1" sizeWithCells="1">
                  <from>
                    <xdr:col>6</xdr:col>
                    <xdr:colOff>0</xdr:colOff>
                    <xdr:row>776</xdr:row>
                    <xdr:rowOff>0</xdr:rowOff>
                  </from>
                  <to>
                    <xdr:col>7</xdr:col>
                    <xdr:colOff>0</xdr:colOff>
                    <xdr:row>776</xdr:row>
                    <xdr:rowOff>133350</xdr:rowOff>
                  </to>
                </anchor>
              </controlPr>
            </control>
          </mc:Choice>
        </mc:AlternateContent>
        <mc:AlternateContent xmlns:mc="http://schemas.openxmlformats.org/markup-compatibility/2006">
          <mc:Choice Requires="x14">
            <control shapeId="1374" r:id="rId353" name="Button 350">
              <controlPr defaultSize="0" autoFill="0" autoLine="0" autoPict="0" macro="[1]!Sheet1.deleteRow">
                <anchor moveWithCells="1" sizeWithCells="1">
                  <from>
                    <xdr:col>6</xdr:col>
                    <xdr:colOff>0</xdr:colOff>
                    <xdr:row>777</xdr:row>
                    <xdr:rowOff>0</xdr:rowOff>
                  </from>
                  <to>
                    <xdr:col>7</xdr:col>
                    <xdr:colOff>0</xdr:colOff>
                    <xdr:row>777</xdr:row>
                    <xdr:rowOff>133350</xdr:rowOff>
                  </to>
                </anchor>
              </controlPr>
            </control>
          </mc:Choice>
        </mc:AlternateContent>
        <mc:AlternateContent xmlns:mc="http://schemas.openxmlformats.org/markup-compatibility/2006">
          <mc:Choice Requires="x14">
            <control shapeId="1375" r:id="rId354" name="Button 351">
              <controlPr defaultSize="0" autoFill="0" autoLine="0" autoPict="0" macro="[1]!Sheet1.deleteRow">
                <anchor moveWithCells="1" sizeWithCells="1">
                  <from>
                    <xdr:col>6</xdr:col>
                    <xdr:colOff>0</xdr:colOff>
                    <xdr:row>778</xdr:row>
                    <xdr:rowOff>0</xdr:rowOff>
                  </from>
                  <to>
                    <xdr:col>7</xdr:col>
                    <xdr:colOff>0</xdr:colOff>
                    <xdr:row>778</xdr:row>
                    <xdr:rowOff>133350</xdr:rowOff>
                  </to>
                </anchor>
              </controlPr>
            </control>
          </mc:Choice>
        </mc:AlternateContent>
        <mc:AlternateContent xmlns:mc="http://schemas.openxmlformats.org/markup-compatibility/2006">
          <mc:Choice Requires="x14">
            <control shapeId="1376" r:id="rId355" name="Button 352">
              <controlPr defaultSize="0" autoFill="0" autoLine="0" autoPict="0" macro="[1]!Sheet1.deleteRow">
                <anchor moveWithCells="1" sizeWithCells="1">
                  <from>
                    <xdr:col>6</xdr:col>
                    <xdr:colOff>0</xdr:colOff>
                    <xdr:row>779</xdr:row>
                    <xdr:rowOff>0</xdr:rowOff>
                  </from>
                  <to>
                    <xdr:col>7</xdr:col>
                    <xdr:colOff>0</xdr:colOff>
                    <xdr:row>779</xdr:row>
                    <xdr:rowOff>133350</xdr:rowOff>
                  </to>
                </anchor>
              </controlPr>
            </control>
          </mc:Choice>
        </mc:AlternateContent>
        <mc:AlternateContent xmlns:mc="http://schemas.openxmlformats.org/markup-compatibility/2006">
          <mc:Choice Requires="x14">
            <control shapeId="1377" r:id="rId356" name="Button 353">
              <controlPr defaultSize="0" autoFill="0" autoLine="0" autoPict="0" macro="[1]!Sheet1.deleteRow">
                <anchor moveWithCells="1" sizeWithCells="1">
                  <from>
                    <xdr:col>6</xdr:col>
                    <xdr:colOff>0</xdr:colOff>
                    <xdr:row>780</xdr:row>
                    <xdr:rowOff>0</xdr:rowOff>
                  </from>
                  <to>
                    <xdr:col>7</xdr:col>
                    <xdr:colOff>0</xdr:colOff>
                    <xdr:row>780</xdr:row>
                    <xdr:rowOff>133350</xdr:rowOff>
                  </to>
                </anchor>
              </controlPr>
            </control>
          </mc:Choice>
        </mc:AlternateContent>
        <mc:AlternateContent xmlns:mc="http://schemas.openxmlformats.org/markup-compatibility/2006">
          <mc:Choice Requires="x14">
            <control shapeId="1378" r:id="rId357" name="Button 354">
              <controlPr defaultSize="0" autoFill="0" autoLine="0" autoPict="0" macro="[1]!Sheet1.deleteRow">
                <anchor moveWithCells="1" sizeWithCells="1">
                  <from>
                    <xdr:col>6</xdr:col>
                    <xdr:colOff>0</xdr:colOff>
                    <xdr:row>781</xdr:row>
                    <xdr:rowOff>0</xdr:rowOff>
                  </from>
                  <to>
                    <xdr:col>7</xdr:col>
                    <xdr:colOff>0</xdr:colOff>
                    <xdr:row>781</xdr:row>
                    <xdr:rowOff>133350</xdr:rowOff>
                  </to>
                </anchor>
              </controlPr>
            </control>
          </mc:Choice>
        </mc:AlternateContent>
        <mc:AlternateContent xmlns:mc="http://schemas.openxmlformats.org/markup-compatibility/2006">
          <mc:Choice Requires="x14">
            <control shapeId="1379" r:id="rId358" name="Button 355">
              <controlPr defaultSize="0" autoFill="0" autoLine="0" autoPict="0" macro="[1]!Sheet1.deleteRow">
                <anchor moveWithCells="1" sizeWithCells="1">
                  <from>
                    <xdr:col>6</xdr:col>
                    <xdr:colOff>0</xdr:colOff>
                    <xdr:row>782</xdr:row>
                    <xdr:rowOff>0</xdr:rowOff>
                  </from>
                  <to>
                    <xdr:col>7</xdr:col>
                    <xdr:colOff>0</xdr:colOff>
                    <xdr:row>782</xdr:row>
                    <xdr:rowOff>133350</xdr:rowOff>
                  </to>
                </anchor>
              </controlPr>
            </control>
          </mc:Choice>
        </mc:AlternateContent>
        <mc:AlternateContent xmlns:mc="http://schemas.openxmlformats.org/markup-compatibility/2006">
          <mc:Choice Requires="x14">
            <control shapeId="1380" r:id="rId359" name="Button 356">
              <controlPr defaultSize="0" autoFill="0" autoLine="0" autoPict="0" macro="[1]!Sheet1.deleteRow">
                <anchor moveWithCells="1" sizeWithCells="1">
                  <from>
                    <xdr:col>6</xdr:col>
                    <xdr:colOff>0</xdr:colOff>
                    <xdr:row>783</xdr:row>
                    <xdr:rowOff>0</xdr:rowOff>
                  </from>
                  <to>
                    <xdr:col>7</xdr:col>
                    <xdr:colOff>0</xdr:colOff>
                    <xdr:row>783</xdr:row>
                    <xdr:rowOff>133350</xdr:rowOff>
                  </to>
                </anchor>
              </controlPr>
            </control>
          </mc:Choice>
        </mc:AlternateContent>
        <mc:AlternateContent xmlns:mc="http://schemas.openxmlformats.org/markup-compatibility/2006">
          <mc:Choice Requires="x14">
            <control shapeId="1381" r:id="rId360" name="Button 357">
              <controlPr defaultSize="0" autoFill="0" autoLine="0" autoPict="0" macro="[1]!Sheet1.deleteRow">
                <anchor moveWithCells="1" sizeWithCells="1">
                  <from>
                    <xdr:col>6</xdr:col>
                    <xdr:colOff>0</xdr:colOff>
                    <xdr:row>784</xdr:row>
                    <xdr:rowOff>0</xdr:rowOff>
                  </from>
                  <to>
                    <xdr:col>7</xdr:col>
                    <xdr:colOff>0</xdr:colOff>
                    <xdr:row>784</xdr:row>
                    <xdr:rowOff>133350</xdr:rowOff>
                  </to>
                </anchor>
              </controlPr>
            </control>
          </mc:Choice>
        </mc:AlternateContent>
        <mc:AlternateContent xmlns:mc="http://schemas.openxmlformats.org/markup-compatibility/2006">
          <mc:Choice Requires="x14">
            <control shapeId="1382" r:id="rId361" name="Button 358">
              <controlPr defaultSize="0" autoFill="0" autoLine="0" autoPict="0" macro="[1]!Sheet1.deleteRow">
                <anchor moveWithCells="1" sizeWithCells="1">
                  <from>
                    <xdr:col>6</xdr:col>
                    <xdr:colOff>0</xdr:colOff>
                    <xdr:row>785</xdr:row>
                    <xdr:rowOff>0</xdr:rowOff>
                  </from>
                  <to>
                    <xdr:col>7</xdr:col>
                    <xdr:colOff>0</xdr:colOff>
                    <xdr:row>785</xdr:row>
                    <xdr:rowOff>133350</xdr:rowOff>
                  </to>
                </anchor>
              </controlPr>
            </control>
          </mc:Choice>
        </mc:AlternateContent>
        <mc:AlternateContent xmlns:mc="http://schemas.openxmlformats.org/markup-compatibility/2006">
          <mc:Choice Requires="x14">
            <control shapeId="1383" r:id="rId362" name="Button 359">
              <controlPr defaultSize="0" autoFill="0" autoLine="0" autoPict="0" macro="[1]!Sheet1.deleteRow">
                <anchor moveWithCells="1" sizeWithCells="1">
                  <from>
                    <xdr:col>6</xdr:col>
                    <xdr:colOff>0</xdr:colOff>
                    <xdr:row>786</xdr:row>
                    <xdr:rowOff>0</xdr:rowOff>
                  </from>
                  <to>
                    <xdr:col>7</xdr:col>
                    <xdr:colOff>0</xdr:colOff>
                    <xdr:row>786</xdr:row>
                    <xdr:rowOff>133350</xdr:rowOff>
                  </to>
                </anchor>
              </controlPr>
            </control>
          </mc:Choice>
        </mc:AlternateContent>
        <mc:AlternateContent xmlns:mc="http://schemas.openxmlformats.org/markup-compatibility/2006">
          <mc:Choice Requires="x14">
            <control shapeId="1384" r:id="rId363" name="Button 360">
              <controlPr defaultSize="0" autoFill="0" autoLine="0" autoPict="0" macro="[1]!Sheet1.deleteRow">
                <anchor moveWithCells="1" sizeWithCells="1">
                  <from>
                    <xdr:col>6</xdr:col>
                    <xdr:colOff>0</xdr:colOff>
                    <xdr:row>787</xdr:row>
                    <xdr:rowOff>0</xdr:rowOff>
                  </from>
                  <to>
                    <xdr:col>7</xdr:col>
                    <xdr:colOff>0</xdr:colOff>
                    <xdr:row>787</xdr:row>
                    <xdr:rowOff>133350</xdr:rowOff>
                  </to>
                </anchor>
              </controlPr>
            </control>
          </mc:Choice>
        </mc:AlternateContent>
        <mc:AlternateContent xmlns:mc="http://schemas.openxmlformats.org/markup-compatibility/2006">
          <mc:Choice Requires="x14">
            <control shapeId="1385" r:id="rId364" name="Button 361">
              <controlPr defaultSize="0" autoFill="0" autoLine="0" autoPict="0" macro="[1]!Sheet1.deleteRow">
                <anchor moveWithCells="1" sizeWithCells="1">
                  <from>
                    <xdr:col>6</xdr:col>
                    <xdr:colOff>0</xdr:colOff>
                    <xdr:row>788</xdr:row>
                    <xdr:rowOff>0</xdr:rowOff>
                  </from>
                  <to>
                    <xdr:col>7</xdr:col>
                    <xdr:colOff>0</xdr:colOff>
                    <xdr:row>788</xdr:row>
                    <xdr:rowOff>133350</xdr:rowOff>
                  </to>
                </anchor>
              </controlPr>
            </control>
          </mc:Choice>
        </mc:AlternateContent>
        <mc:AlternateContent xmlns:mc="http://schemas.openxmlformats.org/markup-compatibility/2006">
          <mc:Choice Requires="x14">
            <control shapeId="1386" r:id="rId365" name="Button 362">
              <controlPr defaultSize="0" autoFill="0" autoLine="0" autoPict="0" macro="[1]!Sheet1.deleteRow">
                <anchor moveWithCells="1" sizeWithCells="1">
                  <from>
                    <xdr:col>6</xdr:col>
                    <xdr:colOff>0</xdr:colOff>
                    <xdr:row>789</xdr:row>
                    <xdr:rowOff>0</xdr:rowOff>
                  </from>
                  <to>
                    <xdr:col>7</xdr:col>
                    <xdr:colOff>0</xdr:colOff>
                    <xdr:row>789</xdr:row>
                    <xdr:rowOff>133350</xdr:rowOff>
                  </to>
                </anchor>
              </controlPr>
            </control>
          </mc:Choice>
        </mc:AlternateContent>
        <mc:AlternateContent xmlns:mc="http://schemas.openxmlformats.org/markup-compatibility/2006">
          <mc:Choice Requires="x14">
            <control shapeId="1387" r:id="rId366" name="Button 363">
              <controlPr defaultSize="0" autoFill="0" autoLine="0" autoPict="0" macro="[1]!Sheet1.deleteRow">
                <anchor moveWithCells="1" sizeWithCells="1">
                  <from>
                    <xdr:col>6</xdr:col>
                    <xdr:colOff>0</xdr:colOff>
                    <xdr:row>790</xdr:row>
                    <xdr:rowOff>0</xdr:rowOff>
                  </from>
                  <to>
                    <xdr:col>7</xdr:col>
                    <xdr:colOff>0</xdr:colOff>
                    <xdr:row>790</xdr:row>
                    <xdr:rowOff>133350</xdr:rowOff>
                  </to>
                </anchor>
              </controlPr>
            </control>
          </mc:Choice>
        </mc:AlternateContent>
        <mc:AlternateContent xmlns:mc="http://schemas.openxmlformats.org/markup-compatibility/2006">
          <mc:Choice Requires="x14">
            <control shapeId="1388" r:id="rId367" name="Button 364">
              <controlPr defaultSize="0" autoFill="0" autoLine="0" autoPict="0" macro="[1]!Sheet1.deleteRow">
                <anchor moveWithCells="1" sizeWithCells="1">
                  <from>
                    <xdr:col>6</xdr:col>
                    <xdr:colOff>0</xdr:colOff>
                    <xdr:row>791</xdr:row>
                    <xdr:rowOff>0</xdr:rowOff>
                  </from>
                  <to>
                    <xdr:col>7</xdr:col>
                    <xdr:colOff>0</xdr:colOff>
                    <xdr:row>791</xdr:row>
                    <xdr:rowOff>133350</xdr:rowOff>
                  </to>
                </anchor>
              </controlPr>
            </control>
          </mc:Choice>
        </mc:AlternateContent>
        <mc:AlternateContent xmlns:mc="http://schemas.openxmlformats.org/markup-compatibility/2006">
          <mc:Choice Requires="x14">
            <control shapeId="1389" r:id="rId368" name="Button 365">
              <controlPr defaultSize="0" autoFill="0" autoLine="0" autoPict="0" macro="[1]!Sheet1.deleteRow">
                <anchor moveWithCells="1" sizeWithCells="1">
                  <from>
                    <xdr:col>6</xdr:col>
                    <xdr:colOff>0</xdr:colOff>
                    <xdr:row>792</xdr:row>
                    <xdr:rowOff>0</xdr:rowOff>
                  </from>
                  <to>
                    <xdr:col>7</xdr:col>
                    <xdr:colOff>0</xdr:colOff>
                    <xdr:row>792</xdr:row>
                    <xdr:rowOff>133350</xdr:rowOff>
                  </to>
                </anchor>
              </controlPr>
            </control>
          </mc:Choice>
        </mc:AlternateContent>
        <mc:AlternateContent xmlns:mc="http://schemas.openxmlformats.org/markup-compatibility/2006">
          <mc:Choice Requires="x14">
            <control shapeId="1390" r:id="rId369" name="Button 366">
              <controlPr defaultSize="0" autoFill="0" autoLine="0" autoPict="0" macro="[1]!Sheet1.deleteRow">
                <anchor moveWithCells="1" sizeWithCells="1">
                  <from>
                    <xdr:col>6</xdr:col>
                    <xdr:colOff>0</xdr:colOff>
                    <xdr:row>793</xdr:row>
                    <xdr:rowOff>0</xdr:rowOff>
                  </from>
                  <to>
                    <xdr:col>7</xdr:col>
                    <xdr:colOff>0</xdr:colOff>
                    <xdr:row>793</xdr:row>
                    <xdr:rowOff>133350</xdr:rowOff>
                  </to>
                </anchor>
              </controlPr>
            </control>
          </mc:Choice>
        </mc:AlternateContent>
        <mc:AlternateContent xmlns:mc="http://schemas.openxmlformats.org/markup-compatibility/2006">
          <mc:Choice Requires="x14">
            <control shapeId="1391" r:id="rId370" name="Button 367">
              <controlPr defaultSize="0" autoFill="0" autoLine="0" autoPict="0" macro="[1]!Sheet1.deleteRow">
                <anchor moveWithCells="1" sizeWithCells="1">
                  <from>
                    <xdr:col>6</xdr:col>
                    <xdr:colOff>0</xdr:colOff>
                    <xdr:row>794</xdr:row>
                    <xdr:rowOff>0</xdr:rowOff>
                  </from>
                  <to>
                    <xdr:col>7</xdr:col>
                    <xdr:colOff>0</xdr:colOff>
                    <xdr:row>794</xdr:row>
                    <xdr:rowOff>133350</xdr:rowOff>
                  </to>
                </anchor>
              </controlPr>
            </control>
          </mc:Choice>
        </mc:AlternateContent>
        <mc:AlternateContent xmlns:mc="http://schemas.openxmlformats.org/markup-compatibility/2006">
          <mc:Choice Requires="x14">
            <control shapeId="1392" r:id="rId371" name="Button 368">
              <controlPr defaultSize="0" autoFill="0" autoLine="0" autoPict="0" macro="[1]!Sheet1.deleteRow">
                <anchor moveWithCells="1" sizeWithCells="1">
                  <from>
                    <xdr:col>6</xdr:col>
                    <xdr:colOff>0</xdr:colOff>
                    <xdr:row>795</xdr:row>
                    <xdr:rowOff>0</xdr:rowOff>
                  </from>
                  <to>
                    <xdr:col>7</xdr:col>
                    <xdr:colOff>0</xdr:colOff>
                    <xdr:row>795</xdr:row>
                    <xdr:rowOff>133350</xdr:rowOff>
                  </to>
                </anchor>
              </controlPr>
            </control>
          </mc:Choice>
        </mc:AlternateContent>
        <mc:AlternateContent xmlns:mc="http://schemas.openxmlformats.org/markup-compatibility/2006">
          <mc:Choice Requires="x14">
            <control shapeId="1393" r:id="rId372" name="Button 369">
              <controlPr defaultSize="0" autoFill="0" autoLine="0" autoPict="0" macro="[1]!Sheet1.deleteRow">
                <anchor moveWithCells="1" sizeWithCells="1">
                  <from>
                    <xdr:col>6</xdr:col>
                    <xdr:colOff>0</xdr:colOff>
                    <xdr:row>796</xdr:row>
                    <xdr:rowOff>0</xdr:rowOff>
                  </from>
                  <to>
                    <xdr:col>7</xdr:col>
                    <xdr:colOff>0</xdr:colOff>
                    <xdr:row>796</xdr:row>
                    <xdr:rowOff>133350</xdr:rowOff>
                  </to>
                </anchor>
              </controlPr>
            </control>
          </mc:Choice>
        </mc:AlternateContent>
        <mc:AlternateContent xmlns:mc="http://schemas.openxmlformats.org/markup-compatibility/2006">
          <mc:Choice Requires="x14">
            <control shapeId="1394" r:id="rId373" name="Button 370">
              <controlPr defaultSize="0" autoFill="0" autoLine="0" autoPict="0" macro="[1]!Sheet1.deleteRow">
                <anchor moveWithCells="1" sizeWithCells="1">
                  <from>
                    <xdr:col>6</xdr:col>
                    <xdr:colOff>0</xdr:colOff>
                    <xdr:row>797</xdr:row>
                    <xdr:rowOff>0</xdr:rowOff>
                  </from>
                  <to>
                    <xdr:col>7</xdr:col>
                    <xdr:colOff>0</xdr:colOff>
                    <xdr:row>797</xdr:row>
                    <xdr:rowOff>133350</xdr:rowOff>
                  </to>
                </anchor>
              </controlPr>
            </control>
          </mc:Choice>
        </mc:AlternateContent>
        <mc:AlternateContent xmlns:mc="http://schemas.openxmlformats.org/markup-compatibility/2006">
          <mc:Choice Requires="x14">
            <control shapeId="1395" r:id="rId374" name="Button 371">
              <controlPr defaultSize="0" autoFill="0" autoLine="0" autoPict="0" macro="[1]!Sheet1.deleteRow">
                <anchor moveWithCells="1" sizeWithCells="1">
                  <from>
                    <xdr:col>6</xdr:col>
                    <xdr:colOff>0</xdr:colOff>
                    <xdr:row>798</xdr:row>
                    <xdr:rowOff>0</xdr:rowOff>
                  </from>
                  <to>
                    <xdr:col>7</xdr:col>
                    <xdr:colOff>0</xdr:colOff>
                    <xdr:row>798</xdr:row>
                    <xdr:rowOff>133350</xdr:rowOff>
                  </to>
                </anchor>
              </controlPr>
            </control>
          </mc:Choice>
        </mc:AlternateContent>
        <mc:AlternateContent xmlns:mc="http://schemas.openxmlformats.org/markup-compatibility/2006">
          <mc:Choice Requires="x14">
            <control shapeId="1396" r:id="rId375" name="Button 372">
              <controlPr defaultSize="0" autoFill="0" autoLine="0" autoPict="0" macro="[1]!Sheet1.deleteRow">
                <anchor moveWithCells="1" sizeWithCells="1">
                  <from>
                    <xdr:col>6</xdr:col>
                    <xdr:colOff>0</xdr:colOff>
                    <xdr:row>799</xdr:row>
                    <xdr:rowOff>0</xdr:rowOff>
                  </from>
                  <to>
                    <xdr:col>7</xdr:col>
                    <xdr:colOff>0</xdr:colOff>
                    <xdr:row>799</xdr:row>
                    <xdr:rowOff>133350</xdr:rowOff>
                  </to>
                </anchor>
              </controlPr>
            </control>
          </mc:Choice>
        </mc:AlternateContent>
        <mc:AlternateContent xmlns:mc="http://schemas.openxmlformats.org/markup-compatibility/2006">
          <mc:Choice Requires="x14">
            <control shapeId="1397" r:id="rId376" name="Button 373">
              <controlPr defaultSize="0" autoFill="0" autoLine="0" autoPict="0" macro="[1]!Sheet1.deleteRow">
                <anchor moveWithCells="1" sizeWithCells="1">
                  <from>
                    <xdr:col>6</xdr:col>
                    <xdr:colOff>0</xdr:colOff>
                    <xdr:row>800</xdr:row>
                    <xdr:rowOff>0</xdr:rowOff>
                  </from>
                  <to>
                    <xdr:col>7</xdr:col>
                    <xdr:colOff>0</xdr:colOff>
                    <xdr:row>800</xdr:row>
                    <xdr:rowOff>133350</xdr:rowOff>
                  </to>
                </anchor>
              </controlPr>
            </control>
          </mc:Choice>
        </mc:AlternateContent>
        <mc:AlternateContent xmlns:mc="http://schemas.openxmlformats.org/markup-compatibility/2006">
          <mc:Choice Requires="x14">
            <control shapeId="1398" r:id="rId377" name="Button 374">
              <controlPr defaultSize="0" autoFill="0" autoLine="0" autoPict="0" macro="[1]!Sheet1.deleteRow">
                <anchor moveWithCells="1" sizeWithCells="1">
                  <from>
                    <xdr:col>6</xdr:col>
                    <xdr:colOff>0</xdr:colOff>
                    <xdr:row>801</xdr:row>
                    <xdr:rowOff>0</xdr:rowOff>
                  </from>
                  <to>
                    <xdr:col>7</xdr:col>
                    <xdr:colOff>0</xdr:colOff>
                    <xdr:row>801</xdr:row>
                    <xdr:rowOff>133350</xdr:rowOff>
                  </to>
                </anchor>
              </controlPr>
            </control>
          </mc:Choice>
        </mc:AlternateContent>
        <mc:AlternateContent xmlns:mc="http://schemas.openxmlformats.org/markup-compatibility/2006">
          <mc:Choice Requires="x14">
            <control shapeId="1399" r:id="rId378" name="Button 375">
              <controlPr defaultSize="0" autoFill="0" autoLine="0" autoPict="0" macro="[1]!Sheet1.deleteRow">
                <anchor moveWithCells="1" sizeWithCells="1">
                  <from>
                    <xdr:col>6</xdr:col>
                    <xdr:colOff>0</xdr:colOff>
                    <xdr:row>802</xdr:row>
                    <xdr:rowOff>0</xdr:rowOff>
                  </from>
                  <to>
                    <xdr:col>7</xdr:col>
                    <xdr:colOff>0</xdr:colOff>
                    <xdr:row>802</xdr:row>
                    <xdr:rowOff>133350</xdr:rowOff>
                  </to>
                </anchor>
              </controlPr>
            </control>
          </mc:Choice>
        </mc:AlternateContent>
        <mc:AlternateContent xmlns:mc="http://schemas.openxmlformats.org/markup-compatibility/2006">
          <mc:Choice Requires="x14">
            <control shapeId="1400" r:id="rId379" name="Button 376">
              <controlPr defaultSize="0" autoFill="0" autoLine="0" autoPict="0" macro="[1]!Sheet1.deleteRow">
                <anchor moveWithCells="1" sizeWithCells="1">
                  <from>
                    <xdr:col>6</xdr:col>
                    <xdr:colOff>0</xdr:colOff>
                    <xdr:row>803</xdr:row>
                    <xdr:rowOff>0</xdr:rowOff>
                  </from>
                  <to>
                    <xdr:col>7</xdr:col>
                    <xdr:colOff>0</xdr:colOff>
                    <xdr:row>803</xdr:row>
                    <xdr:rowOff>133350</xdr:rowOff>
                  </to>
                </anchor>
              </controlPr>
            </control>
          </mc:Choice>
        </mc:AlternateContent>
        <mc:AlternateContent xmlns:mc="http://schemas.openxmlformats.org/markup-compatibility/2006">
          <mc:Choice Requires="x14">
            <control shapeId="1401" r:id="rId380" name="Button 377">
              <controlPr defaultSize="0" autoFill="0" autoLine="0" autoPict="0" macro="[1]!Sheet1.deleteRow">
                <anchor moveWithCells="1" sizeWithCells="1">
                  <from>
                    <xdr:col>6</xdr:col>
                    <xdr:colOff>0</xdr:colOff>
                    <xdr:row>804</xdr:row>
                    <xdr:rowOff>0</xdr:rowOff>
                  </from>
                  <to>
                    <xdr:col>7</xdr:col>
                    <xdr:colOff>0</xdr:colOff>
                    <xdr:row>804</xdr:row>
                    <xdr:rowOff>133350</xdr:rowOff>
                  </to>
                </anchor>
              </controlPr>
            </control>
          </mc:Choice>
        </mc:AlternateContent>
        <mc:AlternateContent xmlns:mc="http://schemas.openxmlformats.org/markup-compatibility/2006">
          <mc:Choice Requires="x14">
            <control shapeId="1402" r:id="rId381" name="Button 378">
              <controlPr defaultSize="0" autoFill="0" autoLine="0" autoPict="0" macro="[1]!Sheet1.deleteRow">
                <anchor moveWithCells="1" sizeWithCells="1">
                  <from>
                    <xdr:col>6</xdr:col>
                    <xdr:colOff>0</xdr:colOff>
                    <xdr:row>805</xdr:row>
                    <xdr:rowOff>0</xdr:rowOff>
                  </from>
                  <to>
                    <xdr:col>7</xdr:col>
                    <xdr:colOff>0</xdr:colOff>
                    <xdr:row>805</xdr:row>
                    <xdr:rowOff>133350</xdr:rowOff>
                  </to>
                </anchor>
              </controlPr>
            </control>
          </mc:Choice>
        </mc:AlternateContent>
        <mc:AlternateContent xmlns:mc="http://schemas.openxmlformats.org/markup-compatibility/2006">
          <mc:Choice Requires="x14">
            <control shapeId="1403" r:id="rId382" name="Button 379">
              <controlPr defaultSize="0" autoFill="0" autoLine="0" autoPict="0" macro="[1]!Sheet1.deleteRow">
                <anchor moveWithCells="1" sizeWithCells="1">
                  <from>
                    <xdr:col>6</xdr:col>
                    <xdr:colOff>0</xdr:colOff>
                    <xdr:row>806</xdr:row>
                    <xdr:rowOff>0</xdr:rowOff>
                  </from>
                  <to>
                    <xdr:col>7</xdr:col>
                    <xdr:colOff>0</xdr:colOff>
                    <xdr:row>806</xdr:row>
                    <xdr:rowOff>133350</xdr:rowOff>
                  </to>
                </anchor>
              </controlPr>
            </control>
          </mc:Choice>
        </mc:AlternateContent>
        <mc:AlternateContent xmlns:mc="http://schemas.openxmlformats.org/markup-compatibility/2006">
          <mc:Choice Requires="x14">
            <control shapeId="1404" r:id="rId383" name="Button 380">
              <controlPr defaultSize="0" autoFill="0" autoLine="0" autoPict="0" macro="[1]!Sheet1.deleteRow">
                <anchor moveWithCells="1" sizeWithCells="1">
                  <from>
                    <xdr:col>6</xdr:col>
                    <xdr:colOff>0</xdr:colOff>
                    <xdr:row>807</xdr:row>
                    <xdr:rowOff>0</xdr:rowOff>
                  </from>
                  <to>
                    <xdr:col>7</xdr:col>
                    <xdr:colOff>0</xdr:colOff>
                    <xdr:row>807</xdr:row>
                    <xdr:rowOff>133350</xdr:rowOff>
                  </to>
                </anchor>
              </controlPr>
            </control>
          </mc:Choice>
        </mc:AlternateContent>
        <mc:AlternateContent xmlns:mc="http://schemas.openxmlformats.org/markup-compatibility/2006">
          <mc:Choice Requires="x14">
            <control shapeId="1405" r:id="rId384" name="Button 381">
              <controlPr defaultSize="0" autoFill="0" autoLine="0" autoPict="0" macro="[1]!Sheet1.deleteRow">
                <anchor moveWithCells="1" sizeWithCells="1">
                  <from>
                    <xdr:col>6</xdr:col>
                    <xdr:colOff>0</xdr:colOff>
                    <xdr:row>808</xdr:row>
                    <xdr:rowOff>0</xdr:rowOff>
                  </from>
                  <to>
                    <xdr:col>7</xdr:col>
                    <xdr:colOff>0</xdr:colOff>
                    <xdr:row>808</xdr:row>
                    <xdr:rowOff>133350</xdr:rowOff>
                  </to>
                </anchor>
              </controlPr>
            </control>
          </mc:Choice>
        </mc:AlternateContent>
        <mc:AlternateContent xmlns:mc="http://schemas.openxmlformats.org/markup-compatibility/2006">
          <mc:Choice Requires="x14">
            <control shapeId="1406" r:id="rId385" name="Button 382">
              <controlPr defaultSize="0" autoFill="0" autoLine="0" autoPict="0" macro="[1]!Sheet1.deleteRow">
                <anchor moveWithCells="1" sizeWithCells="1">
                  <from>
                    <xdr:col>6</xdr:col>
                    <xdr:colOff>0</xdr:colOff>
                    <xdr:row>809</xdr:row>
                    <xdr:rowOff>0</xdr:rowOff>
                  </from>
                  <to>
                    <xdr:col>7</xdr:col>
                    <xdr:colOff>0</xdr:colOff>
                    <xdr:row>809</xdr:row>
                    <xdr:rowOff>133350</xdr:rowOff>
                  </to>
                </anchor>
              </controlPr>
            </control>
          </mc:Choice>
        </mc:AlternateContent>
        <mc:AlternateContent xmlns:mc="http://schemas.openxmlformats.org/markup-compatibility/2006">
          <mc:Choice Requires="x14">
            <control shapeId="1407" r:id="rId386" name="Button 383">
              <controlPr defaultSize="0" autoFill="0" autoLine="0" autoPict="0" macro="[1]!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408" r:id="rId387" name="Button 384">
              <controlPr defaultSize="0" autoFill="0" autoLine="0" autoPict="0" macro="[1]!Sheet1.InsertNewTabl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409" r:id="rId388" name="Button 385">
              <controlPr defaultSize="0" autoFill="0" autoLine="0" autoPict="0" macro="[1]!Sheet1.deleteRow">
                <anchor moveWithCells="1" sizeWithCells="1">
                  <from>
                    <xdr:col>6</xdr:col>
                    <xdr:colOff>0</xdr:colOff>
                    <xdr:row>820</xdr:row>
                    <xdr:rowOff>0</xdr:rowOff>
                  </from>
                  <to>
                    <xdr:col>7</xdr:col>
                    <xdr:colOff>0</xdr:colOff>
                    <xdr:row>820</xdr:row>
                    <xdr:rowOff>133350</xdr:rowOff>
                  </to>
                </anchor>
              </controlPr>
            </control>
          </mc:Choice>
        </mc:AlternateContent>
        <mc:AlternateContent xmlns:mc="http://schemas.openxmlformats.org/markup-compatibility/2006">
          <mc:Choice Requires="x14">
            <control shapeId="1410" r:id="rId389" name="Button 386">
              <controlPr defaultSize="0" autoFill="0" autoLine="0" autoPict="0" macro="[1]!Sheet1.deleteRow">
                <anchor moveWithCells="1" sizeWithCells="1">
                  <from>
                    <xdr:col>6</xdr:col>
                    <xdr:colOff>0</xdr:colOff>
                    <xdr:row>821</xdr:row>
                    <xdr:rowOff>0</xdr:rowOff>
                  </from>
                  <to>
                    <xdr:col>7</xdr:col>
                    <xdr:colOff>0</xdr:colOff>
                    <xdr:row>821</xdr:row>
                    <xdr:rowOff>133350</xdr:rowOff>
                  </to>
                </anchor>
              </controlPr>
            </control>
          </mc:Choice>
        </mc:AlternateContent>
        <mc:AlternateContent xmlns:mc="http://schemas.openxmlformats.org/markup-compatibility/2006">
          <mc:Choice Requires="x14">
            <control shapeId="1411" r:id="rId390" name="Button 387">
              <controlPr defaultSize="0" autoFill="0" autoLine="0" autoPict="0" macro="[1]!Sheet1.deleteRow">
                <anchor moveWithCells="1" sizeWithCells="1">
                  <from>
                    <xdr:col>6</xdr:col>
                    <xdr:colOff>0</xdr:colOff>
                    <xdr:row>822</xdr:row>
                    <xdr:rowOff>0</xdr:rowOff>
                  </from>
                  <to>
                    <xdr:col>7</xdr:col>
                    <xdr:colOff>0</xdr:colOff>
                    <xdr:row>822</xdr:row>
                    <xdr:rowOff>133350</xdr:rowOff>
                  </to>
                </anchor>
              </controlPr>
            </control>
          </mc:Choice>
        </mc:AlternateContent>
        <mc:AlternateContent xmlns:mc="http://schemas.openxmlformats.org/markup-compatibility/2006">
          <mc:Choice Requires="x14">
            <control shapeId="1412" r:id="rId391" name="Button 388">
              <controlPr defaultSize="0" autoFill="0" autoLine="0" autoPict="0" macro="[1]!Sheet1.deleteRow">
                <anchor moveWithCells="1" sizeWithCells="1">
                  <from>
                    <xdr:col>6</xdr:col>
                    <xdr:colOff>0</xdr:colOff>
                    <xdr:row>823</xdr:row>
                    <xdr:rowOff>0</xdr:rowOff>
                  </from>
                  <to>
                    <xdr:col>7</xdr:col>
                    <xdr:colOff>0</xdr:colOff>
                    <xdr:row>823</xdr:row>
                    <xdr:rowOff>133350</xdr:rowOff>
                  </to>
                </anchor>
              </controlPr>
            </control>
          </mc:Choice>
        </mc:AlternateContent>
        <mc:AlternateContent xmlns:mc="http://schemas.openxmlformats.org/markup-compatibility/2006">
          <mc:Choice Requires="x14">
            <control shapeId="1413" r:id="rId392" name="Button 389">
              <controlPr defaultSize="0" autoFill="0" autoLine="0" autoPict="0" macro="[1]!Sheet1.deleteRow">
                <anchor moveWithCells="1" sizeWithCells="1">
                  <from>
                    <xdr:col>6</xdr:col>
                    <xdr:colOff>0</xdr:colOff>
                    <xdr:row>824</xdr:row>
                    <xdr:rowOff>0</xdr:rowOff>
                  </from>
                  <to>
                    <xdr:col>7</xdr:col>
                    <xdr:colOff>0</xdr:colOff>
                    <xdr:row>824</xdr:row>
                    <xdr:rowOff>133350</xdr:rowOff>
                  </to>
                </anchor>
              </controlPr>
            </control>
          </mc:Choice>
        </mc:AlternateContent>
        <mc:AlternateContent xmlns:mc="http://schemas.openxmlformats.org/markup-compatibility/2006">
          <mc:Choice Requires="x14">
            <control shapeId="1414" r:id="rId393" name="Button 390">
              <controlPr defaultSize="0" autoFill="0" autoLine="0" autoPict="0" macro="[1]!Sheet1.deleteRow">
                <anchor moveWithCells="1" sizeWithCells="1">
                  <from>
                    <xdr:col>6</xdr:col>
                    <xdr:colOff>0</xdr:colOff>
                    <xdr:row>825</xdr:row>
                    <xdr:rowOff>0</xdr:rowOff>
                  </from>
                  <to>
                    <xdr:col>7</xdr:col>
                    <xdr:colOff>0</xdr:colOff>
                    <xdr:row>825</xdr:row>
                    <xdr:rowOff>133350</xdr:rowOff>
                  </to>
                </anchor>
              </controlPr>
            </control>
          </mc:Choice>
        </mc:AlternateContent>
        <mc:AlternateContent xmlns:mc="http://schemas.openxmlformats.org/markup-compatibility/2006">
          <mc:Choice Requires="x14">
            <control shapeId="1415" r:id="rId394" name="Button 391">
              <controlPr defaultSize="0" autoFill="0" autoLine="0" autoPict="0" macro="[1]!Sheet1.deleteRow">
                <anchor moveWithCells="1" sizeWithCells="1">
                  <from>
                    <xdr:col>6</xdr:col>
                    <xdr:colOff>0</xdr:colOff>
                    <xdr:row>826</xdr:row>
                    <xdr:rowOff>0</xdr:rowOff>
                  </from>
                  <to>
                    <xdr:col>7</xdr:col>
                    <xdr:colOff>0</xdr:colOff>
                    <xdr:row>826</xdr:row>
                    <xdr:rowOff>133350</xdr:rowOff>
                  </to>
                </anchor>
              </controlPr>
            </control>
          </mc:Choice>
        </mc:AlternateContent>
        <mc:AlternateContent xmlns:mc="http://schemas.openxmlformats.org/markup-compatibility/2006">
          <mc:Choice Requires="x14">
            <control shapeId="1416" r:id="rId395" name="Button 392">
              <controlPr defaultSize="0" autoFill="0" autoLine="0" autoPict="0" macro="[1]!Sheet1.deleteRow">
                <anchor moveWithCells="1" sizeWithCells="1">
                  <from>
                    <xdr:col>6</xdr:col>
                    <xdr:colOff>0</xdr:colOff>
                    <xdr:row>827</xdr:row>
                    <xdr:rowOff>0</xdr:rowOff>
                  </from>
                  <to>
                    <xdr:col>7</xdr:col>
                    <xdr:colOff>0</xdr:colOff>
                    <xdr:row>827</xdr:row>
                    <xdr:rowOff>133350</xdr:rowOff>
                  </to>
                </anchor>
              </controlPr>
            </control>
          </mc:Choice>
        </mc:AlternateContent>
        <mc:AlternateContent xmlns:mc="http://schemas.openxmlformats.org/markup-compatibility/2006">
          <mc:Choice Requires="x14">
            <control shapeId="1417" r:id="rId396" name="Button 393">
              <controlPr defaultSize="0" autoFill="0" autoLine="0" autoPict="0" macro="[1]!Sheet1.deleteRow">
                <anchor moveWithCells="1" sizeWithCells="1">
                  <from>
                    <xdr:col>6</xdr:col>
                    <xdr:colOff>0</xdr:colOff>
                    <xdr:row>828</xdr:row>
                    <xdr:rowOff>0</xdr:rowOff>
                  </from>
                  <to>
                    <xdr:col>7</xdr:col>
                    <xdr:colOff>0</xdr:colOff>
                    <xdr:row>828</xdr:row>
                    <xdr:rowOff>133350</xdr:rowOff>
                  </to>
                </anchor>
              </controlPr>
            </control>
          </mc:Choice>
        </mc:AlternateContent>
        <mc:AlternateContent xmlns:mc="http://schemas.openxmlformats.org/markup-compatibility/2006">
          <mc:Choice Requires="x14">
            <control shapeId="1418" r:id="rId397" name="Button 394">
              <controlPr defaultSize="0" autoFill="0" autoLine="0" autoPict="0" macro="[1]!Sheet1.deleteRow">
                <anchor moveWithCells="1" sizeWithCells="1">
                  <from>
                    <xdr:col>6</xdr:col>
                    <xdr:colOff>0</xdr:colOff>
                    <xdr:row>829</xdr:row>
                    <xdr:rowOff>0</xdr:rowOff>
                  </from>
                  <to>
                    <xdr:col>7</xdr:col>
                    <xdr:colOff>0</xdr:colOff>
                    <xdr:row>829</xdr:row>
                    <xdr:rowOff>133350</xdr:rowOff>
                  </to>
                </anchor>
              </controlPr>
            </control>
          </mc:Choice>
        </mc:AlternateContent>
        <mc:AlternateContent xmlns:mc="http://schemas.openxmlformats.org/markup-compatibility/2006">
          <mc:Choice Requires="x14">
            <control shapeId="1419" r:id="rId398" name="Button 395">
              <controlPr defaultSize="0" autoFill="0" autoLine="0" autoPict="0" macro="[1]!Sheet1.deleteRow">
                <anchor moveWithCells="1" sizeWithCells="1">
                  <from>
                    <xdr:col>6</xdr:col>
                    <xdr:colOff>0</xdr:colOff>
                    <xdr:row>830</xdr:row>
                    <xdr:rowOff>0</xdr:rowOff>
                  </from>
                  <to>
                    <xdr:col>7</xdr:col>
                    <xdr:colOff>0</xdr:colOff>
                    <xdr:row>830</xdr:row>
                    <xdr:rowOff>133350</xdr:rowOff>
                  </to>
                </anchor>
              </controlPr>
            </control>
          </mc:Choice>
        </mc:AlternateContent>
        <mc:AlternateContent xmlns:mc="http://schemas.openxmlformats.org/markup-compatibility/2006">
          <mc:Choice Requires="x14">
            <control shapeId="1420" r:id="rId399" name="Button 396">
              <controlPr defaultSize="0" autoFill="0" autoLine="0" autoPict="0" macro="[1]!Sheet1.deleteRow">
                <anchor moveWithCells="1" sizeWithCells="1">
                  <from>
                    <xdr:col>6</xdr:col>
                    <xdr:colOff>0</xdr:colOff>
                    <xdr:row>831</xdr:row>
                    <xdr:rowOff>0</xdr:rowOff>
                  </from>
                  <to>
                    <xdr:col>7</xdr:col>
                    <xdr:colOff>0</xdr:colOff>
                    <xdr:row>831</xdr:row>
                    <xdr:rowOff>133350</xdr:rowOff>
                  </to>
                </anchor>
              </controlPr>
            </control>
          </mc:Choice>
        </mc:AlternateContent>
        <mc:AlternateContent xmlns:mc="http://schemas.openxmlformats.org/markup-compatibility/2006">
          <mc:Choice Requires="x14">
            <control shapeId="1421" r:id="rId400" name="Button 397">
              <controlPr defaultSize="0" autoFill="0" autoLine="0" autoPict="0" macro="[1]!Sheet1.deleteRow">
                <anchor moveWithCells="1" sizeWithCells="1">
                  <from>
                    <xdr:col>6</xdr:col>
                    <xdr:colOff>0</xdr:colOff>
                    <xdr:row>832</xdr:row>
                    <xdr:rowOff>0</xdr:rowOff>
                  </from>
                  <to>
                    <xdr:col>7</xdr:col>
                    <xdr:colOff>0</xdr:colOff>
                    <xdr:row>832</xdr:row>
                    <xdr:rowOff>133350</xdr:rowOff>
                  </to>
                </anchor>
              </controlPr>
            </control>
          </mc:Choice>
        </mc:AlternateContent>
        <mc:AlternateContent xmlns:mc="http://schemas.openxmlformats.org/markup-compatibility/2006">
          <mc:Choice Requires="x14">
            <control shapeId="1422" r:id="rId401" name="Button 398">
              <controlPr defaultSize="0" autoFill="0" autoLine="0" autoPict="0" macro="[1]!Sheet1.deleteRow">
                <anchor moveWithCells="1" sizeWithCells="1">
                  <from>
                    <xdr:col>6</xdr:col>
                    <xdr:colOff>0</xdr:colOff>
                    <xdr:row>833</xdr:row>
                    <xdr:rowOff>0</xdr:rowOff>
                  </from>
                  <to>
                    <xdr:col>7</xdr:col>
                    <xdr:colOff>0</xdr:colOff>
                    <xdr:row>833</xdr:row>
                    <xdr:rowOff>133350</xdr:rowOff>
                  </to>
                </anchor>
              </controlPr>
            </control>
          </mc:Choice>
        </mc:AlternateContent>
        <mc:AlternateContent xmlns:mc="http://schemas.openxmlformats.org/markup-compatibility/2006">
          <mc:Choice Requires="x14">
            <control shapeId="1423" r:id="rId402" name="Button 399">
              <controlPr defaultSize="0" autoFill="0" autoLine="0" autoPict="0" macro="[1]!Sheet1.deleteRow">
                <anchor moveWithCells="1" sizeWithCells="1">
                  <from>
                    <xdr:col>6</xdr:col>
                    <xdr:colOff>0</xdr:colOff>
                    <xdr:row>834</xdr:row>
                    <xdr:rowOff>0</xdr:rowOff>
                  </from>
                  <to>
                    <xdr:col>7</xdr:col>
                    <xdr:colOff>0</xdr:colOff>
                    <xdr:row>834</xdr:row>
                    <xdr:rowOff>133350</xdr:rowOff>
                  </to>
                </anchor>
              </controlPr>
            </control>
          </mc:Choice>
        </mc:AlternateContent>
        <mc:AlternateContent xmlns:mc="http://schemas.openxmlformats.org/markup-compatibility/2006">
          <mc:Choice Requires="x14">
            <control shapeId="1424" r:id="rId403" name="Button 400">
              <controlPr defaultSize="0" autoFill="0" autoLine="0" autoPict="0" macro="[1]!Sheet1.deleteRow">
                <anchor moveWithCells="1" sizeWithCells="1">
                  <from>
                    <xdr:col>6</xdr:col>
                    <xdr:colOff>0</xdr:colOff>
                    <xdr:row>835</xdr:row>
                    <xdr:rowOff>0</xdr:rowOff>
                  </from>
                  <to>
                    <xdr:col>7</xdr:col>
                    <xdr:colOff>0</xdr:colOff>
                    <xdr:row>835</xdr:row>
                    <xdr:rowOff>133350</xdr:rowOff>
                  </to>
                </anchor>
              </controlPr>
            </control>
          </mc:Choice>
        </mc:AlternateContent>
        <mc:AlternateContent xmlns:mc="http://schemas.openxmlformats.org/markup-compatibility/2006">
          <mc:Choice Requires="x14">
            <control shapeId="1425" r:id="rId404" name="Button 401">
              <controlPr defaultSize="0" autoFill="0" autoLine="0" autoPict="0" macro="[1]!Sheet1.deleteRow">
                <anchor moveWithCells="1" sizeWithCells="1">
                  <from>
                    <xdr:col>6</xdr:col>
                    <xdr:colOff>0</xdr:colOff>
                    <xdr:row>836</xdr:row>
                    <xdr:rowOff>0</xdr:rowOff>
                  </from>
                  <to>
                    <xdr:col>7</xdr:col>
                    <xdr:colOff>0</xdr:colOff>
                    <xdr:row>836</xdr:row>
                    <xdr:rowOff>133350</xdr:rowOff>
                  </to>
                </anchor>
              </controlPr>
            </control>
          </mc:Choice>
        </mc:AlternateContent>
        <mc:AlternateContent xmlns:mc="http://schemas.openxmlformats.org/markup-compatibility/2006">
          <mc:Choice Requires="x14">
            <control shapeId="1426" r:id="rId405" name="Button 402">
              <controlPr defaultSize="0" autoFill="0" autoLine="0" autoPict="0" macro="[1]!Sheet1.deleteRow">
                <anchor moveWithCells="1" sizeWithCells="1">
                  <from>
                    <xdr:col>6</xdr:col>
                    <xdr:colOff>0</xdr:colOff>
                    <xdr:row>837</xdr:row>
                    <xdr:rowOff>0</xdr:rowOff>
                  </from>
                  <to>
                    <xdr:col>7</xdr:col>
                    <xdr:colOff>0</xdr:colOff>
                    <xdr:row>837</xdr:row>
                    <xdr:rowOff>133350</xdr:rowOff>
                  </to>
                </anchor>
              </controlPr>
            </control>
          </mc:Choice>
        </mc:AlternateContent>
        <mc:AlternateContent xmlns:mc="http://schemas.openxmlformats.org/markup-compatibility/2006">
          <mc:Choice Requires="x14">
            <control shapeId="1427" r:id="rId406" name="Button 403">
              <controlPr defaultSize="0" autoFill="0" autoLine="0" autoPict="0" macro="[1]!Sheet1.deleteRow">
                <anchor moveWithCells="1" sizeWithCells="1">
                  <from>
                    <xdr:col>6</xdr:col>
                    <xdr:colOff>0</xdr:colOff>
                    <xdr:row>838</xdr:row>
                    <xdr:rowOff>0</xdr:rowOff>
                  </from>
                  <to>
                    <xdr:col>7</xdr:col>
                    <xdr:colOff>0</xdr:colOff>
                    <xdr:row>838</xdr:row>
                    <xdr:rowOff>133350</xdr:rowOff>
                  </to>
                </anchor>
              </controlPr>
            </control>
          </mc:Choice>
        </mc:AlternateContent>
        <mc:AlternateContent xmlns:mc="http://schemas.openxmlformats.org/markup-compatibility/2006">
          <mc:Choice Requires="x14">
            <control shapeId="1428" r:id="rId407" name="Button 404">
              <controlPr defaultSize="0" autoFill="0" autoLine="0" autoPict="0" macro="[1]!Sheet1.deleteRow">
                <anchor moveWithCells="1" sizeWithCells="1">
                  <from>
                    <xdr:col>6</xdr:col>
                    <xdr:colOff>0</xdr:colOff>
                    <xdr:row>839</xdr:row>
                    <xdr:rowOff>0</xdr:rowOff>
                  </from>
                  <to>
                    <xdr:col>7</xdr:col>
                    <xdr:colOff>0</xdr:colOff>
                    <xdr:row>839</xdr:row>
                    <xdr:rowOff>133350</xdr:rowOff>
                  </to>
                </anchor>
              </controlPr>
            </control>
          </mc:Choice>
        </mc:AlternateContent>
        <mc:AlternateContent xmlns:mc="http://schemas.openxmlformats.org/markup-compatibility/2006">
          <mc:Choice Requires="x14">
            <control shapeId="1429" r:id="rId408" name="Button 405">
              <controlPr defaultSize="0" autoFill="0" autoLine="0" autoPict="0" macro="[1]!Sheet1.deleteRow">
                <anchor moveWithCells="1" sizeWithCells="1">
                  <from>
                    <xdr:col>6</xdr:col>
                    <xdr:colOff>0</xdr:colOff>
                    <xdr:row>840</xdr:row>
                    <xdr:rowOff>0</xdr:rowOff>
                  </from>
                  <to>
                    <xdr:col>7</xdr:col>
                    <xdr:colOff>0</xdr:colOff>
                    <xdr:row>840</xdr:row>
                    <xdr:rowOff>133350</xdr:rowOff>
                  </to>
                </anchor>
              </controlPr>
            </control>
          </mc:Choice>
        </mc:AlternateContent>
        <mc:AlternateContent xmlns:mc="http://schemas.openxmlformats.org/markup-compatibility/2006">
          <mc:Choice Requires="x14">
            <control shapeId="1430" r:id="rId409" name="Button 406">
              <controlPr defaultSize="0" autoFill="0" autoLine="0" autoPict="0" macro="[1]!Sheet1.deleteRow">
                <anchor moveWithCells="1" sizeWithCells="1">
                  <from>
                    <xdr:col>6</xdr:col>
                    <xdr:colOff>0</xdr:colOff>
                    <xdr:row>841</xdr:row>
                    <xdr:rowOff>0</xdr:rowOff>
                  </from>
                  <to>
                    <xdr:col>7</xdr:col>
                    <xdr:colOff>0</xdr:colOff>
                    <xdr:row>841</xdr:row>
                    <xdr:rowOff>133350</xdr:rowOff>
                  </to>
                </anchor>
              </controlPr>
            </control>
          </mc:Choice>
        </mc:AlternateContent>
        <mc:AlternateContent xmlns:mc="http://schemas.openxmlformats.org/markup-compatibility/2006">
          <mc:Choice Requires="x14">
            <control shapeId="1431" r:id="rId410" name="Button 407">
              <controlPr defaultSize="0" autoFill="0" autoLine="0" autoPict="0" macro="[1]!Sheet1.deleteRow">
                <anchor moveWithCells="1" sizeWithCells="1">
                  <from>
                    <xdr:col>6</xdr:col>
                    <xdr:colOff>0</xdr:colOff>
                    <xdr:row>842</xdr:row>
                    <xdr:rowOff>0</xdr:rowOff>
                  </from>
                  <to>
                    <xdr:col>7</xdr:col>
                    <xdr:colOff>0</xdr:colOff>
                    <xdr:row>842</xdr:row>
                    <xdr:rowOff>133350</xdr:rowOff>
                  </to>
                </anchor>
              </controlPr>
            </control>
          </mc:Choice>
        </mc:AlternateContent>
        <mc:AlternateContent xmlns:mc="http://schemas.openxmlformats.org/markup-compatibility/2006">
          <mc:Choice Requires="x14">
            <control shapeId="1432" r:id="rId411" name="Button 408">
              <controlPr defaultSize="0" autoFill="0" autoLine="0" autoPict="0" macro="[1]!Sheet1.deleteRow">
                <anchor moveWithCells="1" sizeWithCells="1">
                  <from>
                    <xdr:col>6</xdr:col>
                    <xdr:colOff>0</xdr:colOff>
                    <xdr:row>843</xdr:row>
                    <xdr:rowOff>0</xdr:rowOff>
                  </from>
                  <to>
                    <xdr:col>7</xdr:col>
                    <xdr:colOff>0</xdr:colOff>
                    <xdr:row>843</xdr:row>
                    <xdr:rowOff>133350</xdr:rowOff>
                  </to>
                </anchor>
              </controlPr>
            </control>
          </mc:Choice>
        </mc:AlternateContent>
        <mc:AlternateContent xmlns:mc="http://schemas.openxmlformats.org/markup-compatibility/2006">
          <mc:Choice Requires="x14">
            <control shapeId="1433" r:id="rId412" name="Button 409">
              <controlPr defaultSize="0" autoFill="0" autoLine="0" autoPict="0" macro="[1]!Sheet1.deleteRow">
                <anchor moveWithCells="1" sizeWithCells="1">
                  <from>
                    <xdr:col>6</xdr:col>
                    <xdr:colOff>0</xdr:colOff>
                    <xdr:row>844</xdr:row>
                    <xdr:rowOff>0</xdr:rowOff>
                  </from>
                  <to>
                    <xdr:col>7</xdr:col>
                    <xdr:colOff>0</xdr:colOff>
                    <xdr:row>844</xdr:row>
                    <xdr:rowOff>133350</xdr:rowOff>
                  </to>
                </anchor>
              </controlPr>
            </control>
          </mc:Choice>
        </mc:AlternateContent>
        <mc:AlternateContent xmlns:mc="http://schemas.openxmlformats.org/markup-compatibility/2006">
          <mc:Choice Requires="x14">
            <control shapeId="1434" r:id="rId413" name="Button 410">
              <controlPr defaultSize="0" autoFill="0" autoLine="0" autoPict="0" macro="[1]!Sheet1.deleteRow">
                <anchor moveWithCells="1" sizeWithCells="1">
                  <from>
                    <xdr:col>6</xdr:col>
                    <xdr:colOff>0</xdr:colOff>
                    <xdr:row>845</xdr:row>
                    <xdr:rowOff>0</xdr:rowOff>
                  </from>
                  <to>
                    <xdr:col>7</xdr:col>
                    <xdr:colOff>0</xdr:colOff>
                    <xdr:row>845</xdr:row>
                    <xdr:rowOff>133350</xdr:rowOff>
                  </to>
                </anchor>
              </controlPr>
            </control>
          </mc:Choice>
        </mc:AlternateContent>
        <mc:AlternateContent xmlns:mc="http://schemas.openxmlformats.org/markup-compatibility/2006">
          <mc:Choice Requires="x14">
            <control shapeId="1435" r:id="rId414" name="Button 411">
              <controlPr defaultSize="0" autoFill="0" autoLine="0" autoPict="0" macro="[1]!Sheet1.deleteRow">
                <anchor moveWithCells="1" sizeWithCells="1">
                  <from>
                    <xdr:col>6</xdr:col>
                    <xdr:colOff>0</xdr:colOff>
                    <xdr:row>846</xdr:row>
                    <xdr:rowOff>0</xdr:rowOff>
                  </from>
                  <to>
                    <xdr:col>7</xdr:col>
                    <xdr:colOff>0</xdr:colOff>
                    <xdr:row>846</xdr:row>
                    <xdr:rowOff>133350</xdr:rowOff>
                  </to>
                </anchor>
              </controlPr>
            </control>
          </mc:Choice>
        </mc:AlternateContent>
        <mc:AlternateContent xmlns:mc="http://schemas.openxmlformats.org/markup-compatibility/2006">
          <mc:Choice Requires="x14">
            <control shapeId="1436" r:id="rId415" name="Button 412">
              <controlPr defaultSize="0" autoFill="0" autoLine="0" autoPict="0" macro="[1]!Sheet1.deleteRow">
                <anchor moveWithCells="1" sizeWithCells="1">
                  <from>
                    <xdr:col>6</xdr:col>
                    <xdr:colOff>0</xdr:colOff>
                    <xdr:row>847</xdr:row>
                    <xdr:rowOff>0</xdr:rowOff>
                  </from>
                  <to>
                    <xdr:col>7</xdr:col>
                    <xdr:colOff>0</xdr:colOff>
                    <xdr:row>847</xdr:row>
                    <xdr:rowOff>133350</xdr:rowOff>
                  </to>
                </anchor>
              </controlPr>
            </control>
          </mc:Choice>
        </mc:AlternateContent>
        <mc:AlternateContent xmlns:mc="http://schemas.openxmlformats.org/markup-compatibility/2006">
          <mc:Choice Requires="x14">
            <control shapeId="1437" r:id="rId416" name="Button 413">
              <controlPr defaultSize="0" autoFill="0" autoLine="0" autoPict="0" macro="[1]!Sheet1.deleteRow">
                <anchor moveWithCells="1" sizeWithCells="1">
                  <from>
                    <xdr:col>6</xdr:col>
                    <xdr:colOff>0</xdr:colOff>
                    <xdr:row>848</xdr:row>
                    <xdr:rowOff>0</xdr:rowOff>
                  </from>
                  <to>
                    <xdr:col>7</xdr:col>
                    <xdr:colOff>0</xdr:colOff>
                    <xdr:row>848</xdr:row>
                    <xdr:rowOff>133350</xdr:rowOff>
                  </to>
                </anchor>
              </controlPr>
            </control>
          </mc:Choice>
        </mc:AlternateContent>
        <mc:AlternateContent xmlns:mc="http://schemas.openxmlformats.org/markup-compatibility/2006">
          <mc:Choice Requires="x14">
            <control shapeId="1438" r:id="rId417" name="Button 414">
              <controlPr defaultSize="0" autoFill="0" autoLine="0" autoPict="0" macro="[1]!Sheet1.deleteRow">
                <anchor moveWithCells="1" sizeWithCells="1">
                  <from>
                    <xdr:col>6</xdr:col>
                    <xdr:colOff>0</xdr:colOff>
                    <xdr:row>849</xdr:row>
                    <xdr:rowOff>0</xdr:rowOff>
                  </from>
                  <to>
                    <xdr:col>7</xdr:col>
                    <xdr:colOff>0</xdr:colOff>
                    <xdr:row>849</xdr:row>
                    <xdr:rowOff>133350</xdr:rowOff>
                  </to>
                </anchor>
              </controlPr>
            </control>
          </mc:Choice>
        </mc:AlternateContent>
        <mc:AlternateContent xmlns:mc="http://schemas.openxmlformats.org/markup-compatibility/2006">
          <mc:Choice Requires="x14">
            <control shapeId="1439" r:id="rId418" name="Button 415">
              <controlPr defaultSize="0" autoFill="0" autoLine="0" autoPict="0" macro="[1]!Sheet1.deleteRow">
                <anchor moveWithCells="1" sizeWithCells="1">
                  <from>
                    <xdr:col>6</xdr:col>
                    <xdr:colOff>0</xdr:colOff>
                    <xdr:row>850</xdr:row>
                    <xdr:rowOff>0</xdr:rowOff>
                  </from>
                  <to>
                    <xdr:col>7</xdr:col>
                    <xdr:colOff>0</xdr:colOff>
                    <xdr:row>850</xdr:row>
                    <xdr:rowOff>133350</xdr:rowOff>
                  </to>
                </anchor>
              </controlPr>
            </control>
          </mc:Choice>
        </mc:AlternateContent>
        <mc:AlternateContent xmlns:mc="http://schemas.openxmlformats.org/markup-compatibility/2006">
          <mc:Choice Requires="x14">
            <control shapeId="1440" r:id="rId419" name="Button 416">
              <controlPr defaultSize="0" autoFill="0" autoLine="0" autoPict="0" macro="[1]!Sheet1.deleteRow">
                <anchor moveWithCells="1" sizeWithCells="1">
                  <from>
                    <xdr:col>6</xdr:col>
                    <xdr:colOff>0</xdr:colOff>
                    <xdr:row>851</xdr:row>
                    <xdr:rowOff>0</xdr:rowOff>
                  </from>
                  <to>
                    <xdr:col>7</xdr:col>
                    <xdr:colOff>0</xdr:colOff>
                    <xdr:row>851</xdr:row>
                    <xdr:rowOff>133350</xdr:rowOff>
                  </to>
                </anchor>
              </controlPr>
            </control>
          </mc:Choice>
        </mc:AlternateContent>
        <mc:AlternateContent xmlns:mc="http://schemas.openxmlformats.org/markup-compatibility/2006">
          <mc:Choice Requires="x14">
            <control shapeId="1441" r:id="rId420" name="Button 417">
              <controlPr defaultSize="0" autoFill="0" autoLine="0" autoPict="0" macro="[1]!Sheet1.deleteRow">
                <anchor moveWithCells="1" sizeWithCells="1">
                  <from>
                    <xdr:col>6</xdr:col>
                    <xdr:colOff>0</xdr:colOff>
                    <xdr:row>852</xdr:row>
                    <xdr:rowOff>0</xdr:rowOff>
                  </from>
                  <to>
                    <xdr:col>7</xdr:col>
                    <xdr:colOff>0</xdr:colOff>
                    <xdr:row>852</xdr:row>
                    <xdr:rowOff>133350</xdr:rowOff>
                  </to>
                </anchor>
              </controlPr>
            </control>
          </mc:Choice>
        </mc:AlternateContent>
        <mc:AlternateContent xmlns:mc="http://schemas.openxmlformats.org/markup-compatibility/2006">
          <mc:Choice Requires="x14">
            <control shapeId="1442" r:id="rId421" name="Button 418">
              <controlPr defaultSize="0" autoFill="0" autoLine="0" autoPict="0" macro="[1]!Sheet1.deleteRow">
                <anchor moveWithCells="1" sizeWithCells="1">
                  <from>
                    <xdr:col>6</xdr:col>
                    <xdr:colOff>0</xdr:colOff>
                    <xdr:row>853</xdr:row>
                    <xdr:rowOff>0</xdr:rowOff>
                  </from>
                  <to>
                    <xdr:col>7</xdr:col>
                    <xdr:colOff>0</xdr:colOff>
                    <xdr:row>853</xdr:row>
                    <xdr:rowOff>133350</xdr:rowOff>
                  </to>
                </anchor>
              </controlPr>
            </control>
          </mc:Choice>
        </mc:AlternateContent>
        <mc:AlternateContent xmlns:mc="http://schemas.openxmlformats.org/markup-compatibility/2006">
          <mc:Choice Requires="x14">
            <control shapeId="1443" r:id="rId422" name="Button 419">
              <controlPr defaultSize="0" autoFill="0" autoLine="0" autoPict="0" macro="[1]!Sheet1.deleteRow">
                <anchor moveWithCells="1" sizeWithCells="1">
                  <from>
                    <xdr:col>6</xdr:col>
                    <xdr:colOff>0</xdr:colOff>
                    <xdr:row>854</xdr:row>
                    <xdr:rowOff>0</xdr:rowOff>
                  </from>
                  <to>
                    <xdr:col>7</xdr:col>
                    <xdr:colOff>0</xdr:colOff>
                    <xdr:row>854</xdr:row>
                    <xdr:rowOff>133350</xdr:rowOff>
                  </to>
                </anchor>
              </controlPr>
            </control>
          </mc:Choice>
        </mc:AlternateContent>
        <mc:AlternateContent xmlns:mc="http://schemas.openxmlformats.org/markup-compatibility/2006">
          <mc:Choice Requires="x14">
            <control shapeId="1444" r:id="rId423" name="Button 420">
              <controlPr defaultSize="0" autoFill="0" autoLine="0" autoPict="0" macro="[1]!Sheet1.deleteRow">
                <anchor moveWithCells="1" sizeWithCells="1">
                  <from>
                    <xdr:col>6</xdr:col>
                    <xdr:colOff>0</xdr:colOff>
                    <xdr:row>855</xdr:row>
                    <xdr:rowOff>0</xdr:rowOff>
                  </from>
                  <to>
                    <xdr:col>7</xdr:col>
                    <xdr:colOff>0</xdr:colOff>
                    <xdr:row>855</xdr:row>
                    <xdr:rowOff>133350</xdr:rowOff>
                  </to>
                </anchor>
              </controlPr>
            </control>
          </mc:Choice>
        </mc:AlternateContent>
        <mc:AlternateContent xmlns:mc="http://schemas.openxmlformats.org/markup-compatibility/2006">
          <mc:Choice Requires="x14">
            <control shapeId="1445" r:id="rId424" name="Button 421">
              <controlPr defaultSize="0" autoFill="0" autoLine="0" autoPict="0" macro="[1]!Sheet1.deleteRow">
                <anchor moveWithCells="1" sizeWithCells="1">
                  <from>
                    <xdr:col>6</xdr:col>
                    <xdr:colOff>0</xdr:colOff>
                    <xdr:row>856</xdr:row>
                    <xdr:rowOff>0</xdr:rowOff>
                  </from>
                  <to>
                    <xdr:col>7</xdr:col>
                    <xdr:colOff>0</xdr:colOff>
                    <xdr:row>856</xdr:row>
                    <xdr:rowOff>133350</xdr:rowOff>
                  </to>
                </anchor>
              </controlPr>
            </control>
          </mc:Choice>
        </mc:AlternateContent>
        <mc:AlternateContent xmlns:mc="http://schemas.openxmlformats.org/markup-compatibility/2006">
          <mc:Choice Requires="x14">
            <control shapeId="1446" r:id="rId425" name="Button 422">
              <controlPr defaultSize="0" autoFill="0" autoLine="0" autoPict="0" macro="[1]!Sheet1.deleteRow">
                <anchor moveWithCells="1" sizeWithCells="1">
                  <from>
                    <xdr:col>6</xdr:col>
                    <xdr:colOff>0</xdr:colOff>
                    <xdr:row>857</xdr:row>
                    <xdr:rowOff>0</xdr:rowOff>
                  </from>
                  <to>
                    <xdr:col>7</xdr:col>
                    <xdr:colOff>0</xdr:colOff>
                    <xdr:row>857</xdr:row>
                    <xdr:rowOff>133350</xdr:rowOff>
                  </to>
                </anchor>
              </controlPr>
            </control>
          </mc:Choice>
        </mc:AlternateContent>
        <mc:AlternateContent xmlns:mc="http://schemas.openxmlformats.org/markup-compatibility/2006">
          <mc:Choice Requires="x14">
            <control shapeId="1447" r:id="rId426" name="Button 423">
              <controlPr defaultSize="0" autoFill="0" autoLine="0" autoPict="0" macro="[1]!Sheet1.deleteRow">
                <anchor moveWithCells="1" sizeWithCells="1">
                  <from>
                    <xdr:col>6</xdr:col>
                    <xdr:colOff>0</xdr:colOff>
                    <xdr:row>858</xdr:row>
                    <xdr:rowOff>0</xdr:rowOff>
                  </from>
                  <to>
                    <xdr:col>7</xdr:col>
                    <xdr:colOff>0</xdr:colOff>
                    <xdr:row>858</xdr:row>
                    <xdr:rowOff>133350</xdr:rowOff>
                  </to>
                </anchor>
              </controlPr>
            </control>
          </mc:Choice>
        </mc:AlternateContent>
        <mc:AlternateContent xmlns:mc="http://schemas.openxmlformats.org/markup-compatibility/2006">
          <mc:Choice Requires="x14">
            <control shapeId="1448" r:id="rId427" name="Button 424">
              <controlPr defaultSize="0" autoFill="0" autoLine="0" autoPict="0" macro="[1]!Sheet1.deleteRow">
                <anchor moveWithCells="1" sizeWithCells="1">
                  <from>
                    <xdr:col>6</xdr:col>
                    <xdr:colOff>0</xdr:colOff>
                    <xdr:row>859</xdr:row>
                    <xdr:rowOff>0</xdr:rowOff>
                  </from>
                  <to>
                    <xdr:col>7</xdr:col>
                    <xdr:colOff>0</xdr:colOff>
                    <xdr:row>859</xdr:row>
                    <xdr:rowOff>133350</xdr:rowOff>
                  </to>
                </anchor>
              </controlPr>
            </control>
          </mc:Choice>
        </mc:AlternateContent>
        <mc:AlternateContent xmlns:mc="http://schemas.openxmlformats.org/markup-compatibility/2006">
          <mc:Choice Requires="x14">
            <control shapeId="1449" r:id="rId428" name="Button 425">
              <controlPr defaultSize="0" autoFill="0" autoLine="0" autoPict="0" macro="[1]!Sheet1.deleteRow">
                <anchor moveWithCells="1" sizeWithCells="1">
                  <from>
                    <xdr:col>6</xdr:col>
                    <xdr:colOff>0</xdr:colOff>
                    <xdr:row>860</xdr:row>
                    <xdr:rowOff>0</xdr:rowOff>
                  </from>
                  <to>
                    <xdr:col>7</xdr:col>
                    <xdr:colOff>0</xdr:colOff>
                    <xdr:row>860</xdr:row>
                    <xdr:rowOff>133350</xdr:rowOff>
                  </to>
                </anchor>
              </controlPr>
            </control>
          </mc:Choice>
        </mc:AlternateContent>
        <mc:AlternateContent xmlns:mc="http://schemas.openxmlformats.org/markup-compatibility/2006">
          <mc:Choice Requires="x14">
            <control shapeId="1450" r:id="rId429" name="Button 426">
              <controlPr defaultSize="0" autoFill="0" autoLine="0" autoPict="0" macro="[1]!Sheet1.deleteRow">
                <anchor moveWithCells="1" sizeWithCells="1">
                  <from>
                    <xdr:col>6</xdr:col>
                    <xdr:colOff>0</xdr:colOff>
                    <xdr:row>861</xdr:row>
                    <xdr:rowOff>0</xdr:rowOff>
                  </from>
                  <to>
                    <xdr:col>7</xdr:col>
                    <xdr:colOff>0</xdr:colOff>
                    <xdr:row>861</xdr:row>
                    <xdr:rowOff>133350</xdr:rowOff>
                  </to>
                </anchor>
              </controlPr>
            </control>
          </mc:Choice>
        </mc:AlternateContent>
        <mc:AlternateContent xmlns:mc="http://schemas.openxmlformats.org/markup-compatibility/2006">
          <mc:Choice Requires="x14">
            <control shapeId="1451" r:id="rId430" name="Button 427">
              <controlPr defaultSize="0" autoFill="0" autoLine="0" autoPict="0" macro="[1]!Sheet1.deleteRow">
                <anchor moveWithCells="1" sizeWithCells="1">
                  <from>
                    <xdr:col>6</xdr:col>
                    <xdr:colOff>0</xdr:colOff>
                    <xdr:row>862</xdr:row>
                    <xdr:rowOff>0</xdr:rowOff>
                  </from>
                  <to>
                    <xdr:col>7</xdr:col>
                    <xdr:colOff>0</xdr:colOff>
                    <xdr:row>862</xdr:row>
                    <xdr:rowOff>133350</xdr:rowOff>
                  </to>
                </anchor>
              </controlPr>
            </control>
          </mc:Choice>
        </mc:AlternateContent>
        <mc:AlternateContent xmlns:mc="http://schemas.openxmlformats.org/markup-compatibility/2006">
          <mc:Choice Requires="x14">
            <control shapeId="1452" r:id="rId431" name="Button 428">
              <controlPr defaultSize="0" autoFill="0" autoLine="0" autoPict="0" macro="[1]!Sheet1.deleteRow">
                <anchor moveWithCells="1" sizeWithCells="1">
                  <from>
                    <xdr:col>6</xdr:col>
                    <xdr:colOff>0</xdr:colOff>
                    <xdr:row>863</xdr:row>
                    <xdr:rowOff>0</xdr:rowOff>
                  </from>
                  <to>
                    <xdr:col>7</xdr:col>
                    <xdr:colOff>0</xdr:colOff>
                    <xdr:row>863</xdr:row>
                    <xdr:rowOff>133350</xdr:rowOff>
                  </to>
                </anchor>
              </controlPr>
            </control>
          </mc:Choice>
        </mc:AlternateContent>
        <mc:AlternateContent xmlns:mc="http://schemas.openxmlformats.org/markup-compatibility/2006">
          <mc:Choice Requires="x14">
            <control shapeId="1453" r:id="rId432" name="Button 429">
              <controlPr defaultSize="0" autoFill="0" autoLine="0" autoPict="0" macro="[1]!Sheet1.deleteRow">
                <anchor moveWithCells="1" sizeWithCells="1">
                  <from>
                    <xdr:col>6</xdr:col>
                    <xdr:colOff>0</xdr:colOff>
                    <xdr:row>864</xdr:row>
                    <xdr:rowOff>0</xdr:rowOff>
                  </from>
                  <to>
                    <xdr:col>7</xdr:col>
                    <xdr:colOff>0</xdr:colOff>
                    <xdr:row>864</xdr:row>
                    <xdr:rowOff>133350</xdr:rowOff>
                  </to>
                </anchor>
              </controlPr>
            </control>
          </mc:Choice>
        </mc:AlternateContent>
        <mc:AlternateContent xmlns:mc="http://schemas.openxmlformats.org/markup-compatibility/2006">
          <mc:Choice Requires="x14">
            <control shapeId="1454" r:id="rId433" name="Button 430">
              <controlPr defaultSize="0" autoFill="0" autoLine="0" autoPict="0" macro="[1]!Sheet1.deleteRow">
                <anchor moveWithCells="1" sizeWithCells="1">
                  <from>
                    <xdr:col>6</xdr:col>
                    <xdr:colOff>0</xdr:colOff>
                    <xdr:row>865</xdr:row>
                    <xdr:rowOff>0</xdr:rowOff>
                  </from>
                  <to>
                    <xdr:col>7</xdr:col>
                    <xdr:colOff>0</xdr:colOff>
                    <xdr:row>865</xdr:row>
                    <xdr:rowOff>133350</xdr:rowOff>
                  </to>
                </anchor>
              </controlPr>
            </control>
          </mc:Choice>
        </mc:AlternateContent>
        <mc:AlternateContent xmlns:mc="http://schemas.openxmlformats.org/markup-compatibility/2006">
          <mc:Choice Requires="x14">
            <control shapeId="1455" r:id="rId434" name="Button 431">
              <controlPr defaultSize="0" autoFill="0" autoLine="0" autoPict="0" macro="[1]!Sheet1.deleteRow">
                <anchor moveWithCells="1" sizeWithCells="1">
                  <from>
                    <xdr:col>6</xdr:col>
                    <xdr:colOff>0</xdr:colOff>
                    <xdr:row>866</xdr:row>
                    <xdr:rowOff>0</xdr:rowOff>
                  </from>
                  <to>
                    <xdr:col>7</xdr:col>
                    <xdr:colOff>0</xdr:colOff>
                    <xdr:row>866</xdr:row>
                    <xdr:rowOff>133350</xdr:rowOff>
                  </to>
                </anchor>
              </controlPr>
            </control>
          </mc:Choice>
        </mc:AlternateContent>
        <mc:AlternateContent xmlns:mc="http://schemas.openxmlformats.org/markup-compatibility/2006">
          <mc:Choice Requires="x14">
            <control shapeId="1456" r:id="rId435" name="Button 432">
              <controlPr defaultSize="0" autoFill="0" autoLine="0" autoPict="0" macro="[1]!Sheet1.deleteRow">
                <anchor moveWithCells="1" sizeWithCells="1">
                  <from>
                    <xdr:col>6</xdr:col>
                    <xdr:colOff>0</xdr:colOff>
                    <xdr:row>867</xdr:row>
                    <xdr:rowOff>0</xdr:rowOff>
                  </from>
                  <to>
                    <xdr:col>7</xdr:col>
                    <xdr:colOff>0</xdr:colOff>
                    <xdr:row>867</xdr:row>
                    <xdr:rowOff>133350</xdr:rowOff>
                  </to>
                </anchor>
              </controlPr>
            </control>
          </mc:Choice>
        </mc:AlternateContent>
        <mc:AlternateContent xmlns:mc="http://schemas.openxmlformats.org/markup-compatibility/2006">
          <mc:Choice Requires="x14">
            <control shapeId="1457" r:id="rId436" name="Button 433">
              <controlPr defaultSize="0" autoFill="0" autoLine="0" autoPict="0" macro="[1]!Sheet1.deleteRow">
                <anchor moveWithCells="1" sizeWithCells="1">
                  <from>
                    <xdr:col>6</xdr:col>
                    <xdr:colOff>0</xdr:colOff>
                    <xdr:row>868</xdr:row>
                    <xdr:rowOff>0</xdr:rowOff>
                  </from>
                  <to>
                    <xdr:col>7</xdr:col>
                    <xdr:colOff>0</xdr:colOff>
                    <xdr:row>868</xdr:row>
                    <xdr:rowOff>133350</xdr:rowOff>
                  </to>
                </anchor>
              </controlPr>
            </control>
          </mc:Choice>
        </mc:AlternateContent>
        <mc:AlternateContent xmlns:mc="http://schemas.openxmlformats.org/markup-compatibility/2006">
          <mc:Choice Requires="x14">
            <control shapeId="1458" r:id="rId437" name="Button 434">
              <controlPr defaultSize="0" autoFill="0" autoLine="0" autoPict="0" macro="[1]!Sheet1.deleteRow">
                <anchor moveWithCells="1" sizeWithCells="1">
                  <from>
                    <xdr:col>6</xdr:col>
                    <xdr:colOff>0</xdr:colOff>
                    <xdr:row>869</xdr:row>
                    <xdr:rowOff>0</xdr:rowOff>
                  </from>
                  <to>
                    <xdr:col>7</xdr:col>
                    <xdr:colOff>0</xdr:colOff>
                    <xdr:row>869</xdr:row>
                    <xdr:rowOff>133350</xdr:rowOff>
                  </to>
                </anchor>
              </controlPr>
            </control>
          </mc:Choice>
        </mc:AlternateContent>
        <mc:AlternateContent xmlns:mc="http://schemas.openxmlformats.org/markup-compatibility/2006">
          <mc:Choice Requires="x14">
            <control shapeId="1459" r:id="rId438" name="Button 435">
              <controlPr defaultSize="0" autoFill="0" autoLine="0" autoPict="0" macro="[1]!Sheet1.deleteRow">
                <anchor moveWithCells="1" sizeWithCells="1">
                  <from>
                    <xdr:col>6</xdr:col>
                    <xdr:colOff>0</xdr:colOff>
                    <xdr:row>870</xdr:row>
                    <xdr:rowOff>0</xdr:rowOff>
                  </from>
                  <to>
                    <xdr:col>7</xdr:col>
                    <xdr:colOff>0</xdr:colOff>
                    <xdr:row>870</xdr:row>
                    <xdr:rowOff>133350</xdr:rowOff>
                  </to>
                </anchor>
              </controlPr>
            </control>
          </mc:Choice>
        </mc:AlternateContent>
        <mc:AlternateContent xmlns:mc="http://schemas.openxmlformats.org/markup-compatibility/2006">
          <mc:Choice Requires="x14">
            <control shapeId="1460" r:id="rId439" name="Button 436">
              <controlPr defaultSize="0" autoFill="0" autoLine="0" autoPict="0" macro="[1]!Sheet1.deleteRow">
                <anchor moveWithCells="1" sizeWithCells="1">
                  <from>
                    <xdr:col>6</xdr:col>
                    <xdr:colOff>0</xdr:colOff>
                    <xdr:row>871</xdr:row>
                    <xdr:rowOff>0</xdr:rowOff>
                  </from>
                  <to>
                    <xdr:col>7</xdr:col>
                    <xdr:colOff>0</xdr:colOff>
                    <xdr:row>871</xdr:row>
                    <xdr:rowOff>133350</xdr:rowOff>
                  </to>
                </anchor>
              </controlPr>
            </control>
          </mc:Choice>
        </mc:AlternateContent>
        <mc:AlternateContent xmlns:mc="http://schemas.openxmlformats.org/markup-compatibility/2006">
          <mc:Choice Requires="x14">
            <control shapeId="1461" r:id="rId440" name="Button 437">
              <controlPr defaultSize="0" autoFill="0" autoLine="0" autoPict="0" macro="[1]!Sheet1.deleteRow">
                <anchor moveWithCells="1" sizeWithCells="1">
                  <from>
                    <xdr:col>6</xdr:col>
                    <xdr:colOff>0</xdr:colOff>
                    <xdr:row>872</xdr:row>
                    <xdr:rowOff>0</xdr:rowOff>
                  </from>
                  <to>
                    <xdr:col>7</xdr:col>
                    <xdr:colOff>0</xdr:colOff>
                    <xdr:row>872</xdr:row>
                    <xdr:rowOff>133350</xdr:rowOff>
                  </to>
                </anchor>
              </controlPr>
            </control>
          </mc:Choice>
        </mc:AlternateContent>
        <mc:AlternateContent xmlns:mc="http://schemas.openxmlformats.org/markup-compatibility/2006">
          <mc:Choice Requires="x14">
            <control shapeId="1462" r:id="rId441" name="Button 438">
              <controlPr defaultSize="0" autoFill="0" autoLine="0" autoPict="0" macro="[1]!Sheet1.deleteRow">
                <anchor moveWithCells="1" sizeWithCells="1">
                  <from>
                    <xdr:col>6</xdr:col>
                    <xdr:colOff>0</xdr:colOff>
                    <xdr:row>873</xdr:row>
                    <xdr:rowOff>0</xdr:rowOff>
                  </from>
                  <to>
                    <xdr:col>7</xdr:col>
                    <xdr:colOff>0</xdr:colOff>
                    <xdr:row>873</xdr:row>
                    <xdr:rowOff>133350</xdr:rowOff>
                  </to>
                </anchor>
              </controlPr>
            </control>
          </mc:Choice>
        </mc:AlternateContent>
        <mc:AlternateContent xmlns:mc="http://schemas.openxmlformats.org/markup-compatibility/2006">
          <mc:Choice Requires="x14">
            <control shapeId="1463" r:id="rId442" name="Button 439">
              <controlPr defaultSize="0" autoFill="0" autoLine="0" autoPict="0" macro="[1]!Sheet1.deleteRow">
                <anchor moveWithCells="1" sizeWithCells="1">
                  <from>
                    <xdr:col>6</xdr:col>
                    <xdr:colOff>0</xdr:colOff>
                    <xdr:row>874</xdr:row>
                    <xdr:rowOff>0</xdr:rowOff>
                  </from>
                  <to>
                    <xdr:col>7</xdr:col>
                    <xdr:colOff>0</xdr:colOff>
                    <xdr:row>874</xdr:row>
                    <xdr:rowOff>133350</xdr:rowOff>
                  </to>
                </anchor>
              </controlPr>
            </control>
          </mc:Choice>
        </mc:AlternateContent>
        <mc:AlternateContent xmlns:mc="http://schemas.openxmlformats.org/markup-compatibility/2006">
          <mc:Choice Requires="x14">
            <control shapeId="1464" r:id="rId443" name="Button 440">
              <controlPr defaultSize="0" autoFill="0" autoLine="0" autoPict="0" macro="[1]!Sheet1.deleteRow">
                <anchor moveWithCells="1" sizeWithCells="1">
                  <from>
                    <xdr:col>6</xdr:col>
                    <xdr:colOff>0</xdr:colOff>
                    <xdr:row>875</xdr:row>
                    <xdr:rowOff>0</xdr:rowOff>
                  </from>
                  <to>
                    <xdr:col>7</xdr:col>
                    <xdr:colOff>0</xdr:colOff>
                    <xdr:row>875</xdr:row>
                    <xdr:rowOff>133350</xdr:rowOff>
                  </to>
                </anchor>
              </controlPr>
            </control>
          </mc:Choice>
        </mc:AlternateContent>
        <mc:AlternateContent xmlns:mc="http://schemas.openxmlformats.org/markup-compatibility/2006">
          <mc:Choice Requires="x14">
            <control shapeId="1465" r:id="rId444" name="Button 441">
              <controlPr defaultSize="0" autoFill="0" autoLine="0" autoPict="0" macro="[1]!Sheet1.deleteRow">
                <anchor moveWithCells="1" sizeWithCells="1">
                  <from>
                    <xdr:col>6</xdr:col>
                    <xdr:colOff>0</xdr:colOff>
                    <xdr:row>876</xdr:row>
                    <xdr:rowOff>0</xdr:rowOff>
                  </from>
                  <to>
                    <xdr:col>7</xdr:col>
                    <xdr:colOff>0</xdr:colOff>
                    <xdr:row>876</xdr:row>
                    <xdr:rowOff>133350</xdr:rowOff>
                  </to>
                </anchor>
              </controlPr>
            </control>
          </mc:Choice>
        </mc:AlternateContent>
        <mc:AlternateContent xmlns:mc="http://schemas.openxmlformats.org/markup-compatibility/2006">
          <mc:Choice Requires="x14">
            <control shapeId="1466" r:id="rId445" name="Button 442">
              <controlPr defaultSize="0" autoFill="0" autoLine="0" autoPict="0" macro="[1]!Sheet1.deleteRow">
                <anchor moveWithCells="1" sizeWithCells="1">
                  <from>
                    <xdr:col>6</xdr:col>
                    <xdr:colOff>0</xdr:colOff>
                    <xdr:row>877</xdr:row>
                    <xdr:rowOff>0</xdr:rowOff>
                  </from>
                  <to>
                    <xdr:col>7</xdr:col>
                    <xdr:colOff>0</xdr:colOff>
                    <xdr:row>877</xdr:row>
                    <xdr:rowOff>133350</xdr:rowOff>
                  </to>
                </anchor>
              </controlPr>
            </control>
          </mc:Choice>
        </mc:AlternateContent>
        <mc:AlternateContent xmlns:mc="http://schemas.openxmlformats.org/markup-compatibility/2006">
          <mc:Choice Requires="x14">
            <control shapeId="1467" r:id="rId446" name="Button 443">
              <controlPr defaultSize="0" autoFill="0" autoLine="0" autoPict="0" macro="[1]!Sheet1.deleteRow">
                <anchor moveWithCells="1" sizeWithCells="1">
                  <from>
                    <xdr:col>6</xdr:col>
                    <xdr:colOff>0</xdr:colOff>
                    <xdr:row>878</xdr:row>
                    <xdr:rowOff>0</xdr:rowOff>
                  </from>
                  <to>
                    <xdr:col>7</xdr:col>
                    <xdr:colOff>0</xdr:colOff>
                    <xdr:row>878</xdr:row>
                    <xdr:rowOff>133350</xdr:rowOff>
                  </to>
                </anchor>
              </controlPr>
            </control>
          </mc:Choice>
        </mc:AlternateContent>
        <mc:AlternateContent xmlns:mc="http://schemas.openxmlformats.org/markup-compatibility/2006">
          <mc:Choice Requires="x14">
            <control shapeId="1468" r:id="rId447" name="Button 444">
              <controlPr defaultSize="0" autoFill="0" autoLine="0" autoPict="0" macro="[1]!Sheet1.deleteRow">
                <anchor moveWithCells="1" sizeWithCells="1">
                  <from>
                    <xdr:col>6</xdr:col>
                    <xdr:colOff>0</xdr:colOff>
                    <xdr:row>879</xdr:row>
                    <xdr:rowOff>0</xdr:rowOff>
                  </from>
                  <to>
                    <xdr:col>7</xdr:col>
                    <xdr:colOff>0</xdr:colOff>
                    <xdr:row>879</xdr:row>
                    <xdr:rowOff>133350</xdr:rowOff>
                  </to>
                </anchor>
              </controlPr>
            </control>
          </mc:Choice>
        </mc:AlternateContent>
        <mc:AlternateContent xmlns:mc="http://schemas.openxmlformats.org/markup-compatibility/2006">
          <mc:Choice Requires="x14">
            <control shapeId="1469" r:id="rId448" name="Button 445">
              <controlPr defaultSize="0" autoFill="0" autoLine="0" autoPict="0" macro="[1]!Sheet1.deleteRow">
                <anchor moveWithCells="1" sizeWithCells="1">
                  <from>
                    <xdr:col>6</xdr:col>
                    <xdr:colOff>0</xdr:colOff>
                    <xdr:row>880</xdr:row>
                    <xdr:rowOff>0</xdr:rowOff>
                  </from>
                  <to>
                    <xdr:col>7</xdr:col>
                    <xdr:colOff>0</xdr:colOff>
                    <xdr:row>880</xdr:row>
                    <xdr:rowOff>133350</xdr:rowOff>
                  </to>
                </anchor>
              </controlPr>
            </control>
          </mc:Choice>
        </mc:AlternateContent>
        <mc:AlternateContent xmlns:mc="http://schemas.openxmlformats.org/markup-compatibility/2006">
          <mc:Choice Requires="x14">
            <control shapeId="1470" r:id="rId449" name="Button 446">
              <controlPr defaultSize="0" autoFill="0" autoLine="0" autoPict="0" macro="[1]!Sheet1.deleteRow">
                <anchor moveWithCells="1" sizeWithCells="1">
                  <from>
                    <xdr:col>6</xdr:col>
                    <xdr:colOff>0</xdr:colOff>
                    <xdr:row>881</xdr:row>
                    <xdr:rowOff>0</xdr:rowOff>
                  </from>
                  <to>
                    <xdr:col>7</xdr:col>
                    <xdr:colOff>0</xdr:colOff>
                    <xdr:row>881</xdr:row>
                    <xdr:rowOff>133350</xdr:rowOff>
                  </to>
                </anchor>
              </controlPr>
            </control>
          </mc:Choice>
        </mc:AlternateContent>
        <mc:AlternateContent xmlns:mc="http://schemas.openxmlformats.org/markup-compatibility/2006">
          <mc:Choice Requires="x14">
            <control shapeId="1471" r:id="rId450" name="Button 447">
              <controlPr defaultSize="0" autoFill="0" autoLine="0" autoPict="0" macro="[1]!Sheet1.deleteRow">
                <anchor moveWithCells="1" sizeWithCells="1">
                  <from>
                    <xdr:col>6</xdr:col>
                    <xdr:colOff>0</xdr:colOff>
                    <xdr:row>882</xdr:row>
                    <xdr:rowOff>0</xdr:rowOff>
                  </from>
                  <to>
                    <xdr:col>7</xdr:col>
                    <xdr:colOff>0</xdr:colOff>
                    <xdr:row>882</xdr:row>
                    <xdr:rowOff>133350</xdr:rowOff>
                  </to>
                </anchor>
              </controlPr>
            </control>
          </mc:Choice>
        </mc:AlternateContent>
        <mc:AlternateContent xmlns:mc="http://schemas.openxmlformats.org/markup-compatibility/2006">
          <mc:Choice Requires="x14">
            <control shapeId="1472" r:id="rId451" name="Button 448">
              <controlPr defaultSize="0" autoFill="0" autoLine="0" autoPict="0" macro="[1]!Sheet1.deleteRow">
                <anchor moveWithCells="1" sizeWithCells="1">
                  <from>
                    <xdr:col>6</xdr:col>
                    <xdr:colOff>0</xdr:colOff>
                    <xdr:row>883</xdr:row>
                    <xdr:rowOff>0</xdr:rowOff>
                  </from>
                  <to>
                    <xdr:col>7</xdr:col>
                    <xdr:colOff>0</xdr:colOff>
                    <xdr:row>883</xdr:row>
                    <xdr:rowOff>133350</xdr:rowOff>
                  </to>
                </anchor>
              </controlPr>
            </control>
          </mc:Choice>
        </mc:AlternateContent>
        <mc:AlternateContent xmlns:mc="http://schemas.openxmlformats.org/markup-compatibility/2006">
          <mc:Choice Requires="x14">
            <control shapeId="1473" r:id="rId452" name="Button 449">
              <controlPr defaultSize="0" autoFill="0" autoLine="0" autoPict="0" macro="[1]!Sheet1.deleteRow">
                <anchor moveWithCells="1" sizeWithCells="1">
                  <from>
                    <xdr:col>6</xdr:col>
                    <xdr:colOff>0</xdr:colOff>
                    <xdr:row>884</xdr:row>
                    <xdr:rowOff>0</xdr:rowOff>
                  </from>
                  <to>
                    <xdr:col>7</xdr:col>
                    <xdr:colOff>0</xdr:colOff>
                    <xdr:row>884</xdr:row>
                    <xdr:rowOff>133350</xdr:rowOff>
                  </to>
                </anchor>
              </controlPr>
            </control>
          </mc:Choice>
        </mc:AlternateContent>
        <mc:AlternateContent xmlns:mc="http://schemas.openxmlformats.org/markup-compatibility/2006">
          <mc:Choice Requires="x14">
            <control shapeId="1474" r:id="rId453" name="Button 450">
              <controlPr defaultSize="0" autoFill="0" autoLine="0" autoPict="0" macro="[1]!Sheet1.deleteProcedure">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475" r:id="rId454" name="Button 451">
              <controlPr defaultSize="0" autoFill="0" autoLine="0" autoPict="0" macro="[1]!Sheet1.InsertNewTabl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476" r:id="rId455" name="Button 452">
              <controlPr defaultSize="0" autoFill="0" autoLine="0" autoPict="0" macro="[1]!Sheet1.deleteRow">
                <anchor moveWithCells="1" sizeWithCells="1">
                  <from>
                    <xdr:col>6</xdr:col>
                    <xdr:colOff>0</xdr:colOff>
                    <xdr:row>895</xdr:row>
                    <xdr:rowOff>0</xdr:rowOff>
                  </from>
                  <to>
                    <xdr:col>7</xdr:col>
                    <xdr:colOff>0</xdr:colOff>
                    <xdr:row>895</xdr:row>
                    <xdr:rowOff>133350</xdr:rowOff>
                  </to>
                </anchor>
              </controlPr>
            </control>
          </mc:Choice>
        </mc:AlternateContent>
        <mc:AlternateContent xmlns:mc="http://schemas.openxmlformats.org/markup-compatibility/2006">
          <mc:Choice Requires="x14">
            <control shapeId="1477" r:id="rId456" name="Button 453">
              <controlPr defaultSize="0" autoFill="0" autoLine="0" autoPict="0" macro="[1]!Sheet1.deleteRow">
                <anchor moveWithCells="1" sizeWithCells="1">
                  <from>
                    <xdr:col>6</xdr:col>
                    <xdr:colOff>0</xdr:colOff>
                    <xdr:row>896</xdr:row>
                    <xdr:rowOff>0</xdr:rowOff>
                  </from>
                  <to>
                    <xdr:col>7</xdr:col>
                    <xdr:colOff>0</xdr:colOff>
                    <xdr:row>896</xdr:row>
                    <xdr:rowOff>133350</xdr:rowOff>
                  </to>
                </anchor>
              </controlPr>
            </control>
          </mc:Choice>
        </mc:AlternateContent>
        <mc:AlternateContent xmlns:mc="http://schemas.openxmlformats.org/markup-compatibility/2006">
          <mc:Choice Requires="x14">
            <control shapeId="1478" r:id="rId457" name="Button 454">
              <controlPr defaultSize="0" autoFill="0" autoLine="0" autoPict="0" macro="[1]!Sheet1.deleteRow">
                <anchor moveWithCells="1" sizeWithCells="1">
                  <from>
                    <xdr:col>6</xdr:col>
                    <xdr:colOff>0</xdr:colOff>
                    <xdr:row>897</xdr:row>
                    <xdr:rowOff>0</xdr:rowOff>
                  </from>
                  <to>
                    <xdr:col>7</xdr:col>
                    <xdr:colOff>0</xdr:colOff>
                    <xdr:row>897</xdr:row>
                    <xdr:rowOff>133350</xdr:rowOff>
                  </to>
                </anchor>
              </controlPr>
            </control>
          </mc:Choice>
        </mc:AlternateContent>
        <mc:AlternateContent xmlns:mc="http://schemas.openxmlformats.org/markup-compatibility/2006">
          <mc:Choice Requires="x14">
            <control shapeId="1479" r:id="rId458" name="Button 455">
              <controlPr defaultSize="0" autoFill="0" autoLine="0" autoPict="0" macro="[1]!Sheet1.deleteRow">
                <anchor moveWithCells="1" sizeWithCells="1">
                  <from>
                    <xdr:col>6</xdr:col>
                    <xdr:colOff>0</xdr:colOff>
                    <xdr:row>898</xdr:row>
                    <xdr:rowOff>0</xdr:rowOff>
                  </from>
                  <to>
                    <xdr:col>7</xdr:col>
                    <xdr:colOff>0</xdr:colOff>
                    <xdr:row>898</xdr:row>
                    <xdr:rowOff>133350</xdr:rowOff>
                  </to>
                </anchor>
              </controlPr>
            </control>
          </mc:Choice>
        </mc:AlternateContent>
        <mc:AlternateContent xmlns:mc="http://schemas.openxmlformats.org/markup-compatibility/2006">
          <mc:Choice Requires="x14">
            <control shapeId="1480" r:id="rId459" name="Button 456">
              <controlPr defaultSize="0" autoFill="0" autoLine="0" autoPict="0" macro="[1]!Sheet1.deleteRow">
                <anchor moveWithCells="1" sizeWithCells="1">
                  <from>
                    <xdr:col>6</xdr:col>
                    <xdr:colOff>0</xdr:colOff>
                    <xdr:row>899</xdr:row>
                    <xdr:rowOff>0</xdr:rowOff>
                  </from>
                  <to>
                    <xdr:col>7</xdr:col>
                    <xdr:colOff>0</xdr:colOff>
                    <xdr:row>899</xdr:row>
                    <xdr:rowOff>133350</xdr:rowOff>
                  </to>
                </anchor>
              </controlPr>
            </control>
          </mc:Choice>
        </mc:AlternateContent>
        <mc:AlternateContent xmlns:mc="http://schemas.openxmlformats.org/markup-compatibility/2006">
          <mc:Choice Requires="x14">
            <control shapeId="1481" r:id="rId460" name="Button 457">
              <controlPr defaultSize="0" autoFill="0" autoLine="0" autoPict="0" macro="[1]!Sheet1.deleteRow">
                <anchor moveWithCells="1" sizeWithCells="1">
                  <from>
                    <xdr:col>6</xdr:col>
                    <xdr:colOff>0</xdr:colOff>
                    <xdr:row>900</xdr:row>
                    <xdr:rowOff>0</xdr:rowOff>
                  </from>
                  <to>
                    <xdr:col>7</xdr:col>
                    <xdr:colOff>0</xdr:colOff>
                    <xdr:row>900</xdr:row>
                    <xdr:rowOff>133350</xdr:rowOff>
                  </to>
                </anchor>
              </controlPr>
            </control>
          </mc:Choice>
        </mc:AlternateContent>
        <mc:AlternateContent xmlns:mc="http://schemas.openxmlformats.org/markup-compatibility/2006">
          <mc:Choice Requires="x14">
            <control shapeId="1482" r:id="rId461" name="Button 458">
              <controlPr defaultSize="0" autoFill="0" autoLine="0" autoPict="0" macro="[1]!Sheet1.deleteRow">
                <anchor moveWithCells="1" sizeWithCells="1">
                  <from>
                    <xdr:col>6</xdr:col>
                    <xdr:colOff>0</xdr:colOff>
                    <xdr:row>901</xdr:row>
                    <xdr:rowOff>0</xdr:rowOff>
                  </from>
                  <to>
                    <xdr:col>7</xdr:col>
                    <xdr:colOff>0</xdr:colOff>
                    <xdr:row>901</xdr:row>
                    <xdr:rowOff>133350</xdr:rowOff>
                  </to>
                </anchor>
              </controlPr>
            </control>
          </mc:Choice>
        </mc:AlternateContent>
        <mc:AlternateContent xmlns:mc="http://schemas.openxmlformats.org/markup-compatibility/2006">
          <mc:Choice Requires="x14">
            <control shapeId="1483" r:id="rId462" name="Button 459">
              <controlPr defaultSize="0" autoFill="0" autoLine="0" autoPict="0" macro="[1]!Sheet1.deleteRow">
                <anchor moveWithCells="1" sizeWithCells="1">
                  <from>
                    <xdr:col>6</xdr:col>
                    <xdr:colOff>0</xdr:colOff>
                    <xdr:row>902</xdr:row>
                    <xdr:rowOff>0</xdr:rowOff>
                  </from>
                  <to>
                    <xdr:col>7</xdr:col>
                    <xdr:colOff>0</xdr:colOff>
                    <xdr:row>902</xdr:row>
                    <xdr:rowOff>133350</xdr:rowOff>
                  </to>
                </anchor>
              </controlPr>
            </control>
          </mc:Choice>
        </mc:AlternateContent>
        <mc:AlternateContent xmlns:mc="http://schemas.openxmlformats.org/markup-compatibility/2006">
          <mc:Choice Requires="x14">
            <control shapeId="1484" r:id="rId463" name="Button 460">
              <controlPr defaultSize="0" autoFill="0" autoLine="0" autoPict="0" macro="[1]!Sheet1.deleteRow">
                <anchor moveWithCells="1" sizeWithCells="1">
                  <from>
                    <xdr:col>6</xdr:col>
                    <xdr:colOff>0</xdr:colOff>
                    <xdr:row>903</xdr:row>
                    <xdr:rowOff>0</xdr:rowOff>
                  </from>
                  <to>
                    <xdr:col>7</xdr:col>
                    <xdr:colOff>0</xdr:colOff>
                    <xdr:row>903</xdr:row>
                    <xdr:rowOff>133350</xdr:rowOff>
                  </to>
                </anchor>
              </controlPr>
            </control>
          </mc:Choice>
        </mc:AlternateContent>
        <mc:AlternateContent xmlns:mc="http://schemas.openxmlformats.org/markup-compatibility/2006">
          <mc:Choice Requires="x14">
            <control shapeId="1485" r:id="rId464" name="Button 461">
              <controlPr defaultSize="0" autoFill="0" autoLine="0" autoPict="0" macro="[1]!Sheet1.deleteRow">
                <anchor moveWithCells="1" sizeWithCells="1">
                  <from>
                    <xdr:col>6</xdr:col>
                    <xdr:colOff>0</xdr:colOff>
                    <xdr:row>904</xdr:row>
                    <xdr:rowOff>0</xdr:rowOff>
                  </from>
                  <to>
                    <xdr:col>7</xdr:col>
                    <xdr:colOff>0</xdr:colOff>
                    <xdr:row>904</xdr:row>
                    <xdr:rowOff>133350</xdr:rowOff>
                  </to>
                </anchor>
              </controlPr>
            </control>
          </mc:Choice>
        </mc:AlternateContent>
        <mc:AlternateContent xmlns:mc="http://schemas.openxmlformats.org/markup-compatibility/2006">
          <mc:Choice Requires="x14">
            <control shapeId="1486" r:id="rId465" name="Button 462">
              <controlPr defaultSize="0" autoFill="0" autoLine="0" autoPict="0" macro="[1]!Sheet1.deleteRow">
                <anchor moveWithCells="1" sizeWithCells="1">
                  <from>
                    <xdr:col>6</xdr:col>
                    <xdr:colOff>0</xdr:colOff>
                    <xdr:row>905</xdr:row>
                    <xdr:rowOff>0</xdr:rowOff>
                  </from>
                  <to>
                    <xdr:col>7</xdr:col>
                    <xdr:colOff>0</xdr:colOff>
                    <xdr:row>905</xdr:row>
                    <xdr:rowOff>133350</xdr:rowOff>
                  </to>
                </anchor>
              </controlPr>
            </control>
          </mc:Choice>
        </mc:AlternateContent>
        <mc:AlternateContent xmlns:mc="http://schemas.openxmlformats.org/markup-compatibility/2006">
          <mc:Choice Requires="x14">
            <control shapeId="1487" r:id="rId466" name="Button 463">
              <controlPr defaultSize="0" autoFill="0" autoLine="0" autoPict="0" macro="[1]!Sheet1.deleteRow">
                <anchor moveWithCells="1" sizeWithCells="1">
                  <from>
                    <xdr:col>6</xdr:col>
                    <xdr:colOff>0</xdr:colOff>
                    <xdr:row>906</xdr:row>
                    <xdr:rowOff>0</xdr:rowOff>
                  </from>
                  <to>
                    <xdr:col>7</xdr:col>
                    <xdr:colOff>0</xdr:colOff>
                    <xdr:row>906</xdr:row>
                    <xdr:rowOff>133350</xdr:rowOff>
                  </to>
                </anchor>
              </controlPr>
            </control>
          </mc:Choice>
        </mc:AlternateContent>
        <mc:AlternateContent xmlns:mc="http://schemas.openxmlformats.org/markup-compatibility/2006">
          <mc:Choice Requires="x14">
            <control shapeId="1488" r:id="rId467" name="Button 464">
              <controlPr defaultSize="0" autoFill="0" autoLine="0" autoPict="0" macro="[1]!Sheet1.deleteRow">
                <anchor moveWithCells="1" sizeWithCells="1">
                  <from>
                    <xdr:col>6</xdr:col>
                    <xdr:colOff>0</xdr:colOff>
                    <xdr:row>907</xdr:row>
                    <xdr:rowOff>0</xdr:rowOff>
                  </from>
                  <to>
                    <xdr:col>7</xdr:col>
                    <xdr:colOff>0</xdr:colOff>
                    <xdr:row>907</xdr:row>
                    <xdr:rowOff>133350</xdr:rowOff>
                  </to>
                </anchor>
              </controlPr>
            </control>
          </mc:Choice>
        </mc:AlternateContent>
        <mc:AlternateContent xmlns:mc="http://schemas.openxmlformats.org/markup-compatibility/2006">
          <mc:Choice Requires="x14">
            <control shapeId="1489" r:id="rId468" name="Button 465">
              <controlPr defaultSize="0" autoFill="0" autoLine="0" autoPict="0" macro="[1]!Sheet1.deleteRow">
                <anchor moveWithCells="1" sizeWithCells="1">
                  <from>
                    <xdr:col>6</xdr:col>
                    <xdr:colOff>0</xdr:colOff>
                    <xdr:row>908</xdr:row>
                    <xdr:rowOff>0</xdr:rowOff>
                  </from>
                  <to>
                    <xdr:col>7</xdr:col>
                    <xdr:colOff>0</xdr:colOff>
                    <xdr:row>908</xdr:row>
                    <xdr:rowOff>133350</xdr:rowOff>
                  </to>
                </anchor>
              </controlPr>
            </control>
          </mc:Choice>
        </mc:AlternateContent>
        <mc:AlternateContent xmlns:mc="http://schemas.openxmlformats.org/markup-compatibility/2006">
          <mc:Choice Requires="x14">
            <control shapeId="1490" r:id="rId469" name="Button 466">
              <controlPr defaultSize="0" autoFill="0" autoLine="0" autoPict="0" macro="[1]!Sheet1.deleteRow">
                <anchor moveWithCells="1" sizeWithCells="1">
                  <from>
                    <xdr:col>6</xdr:col>
                    <xdr:colOff>0</xdr:colOff>
                    <xdr:row>909</xdr:row>
                    <xdr:rowOff>0</xdr:rowOff>
                  </from>
                  <to>
                    <xdr:col>7</xdr:col>
                    <xdr:colOff>0</xdr:colOff>
                    <xdr:row>909</xdr:row>
                    <xdr:rowOff>133350</xdr:rowOff>
                  </to>
                </anchor>
              </controlPr>
            </control>
          </mc:Choice>
        </mc:AlternateContent>
        <mc:AlternateContent xmlns:mc="http://schemas.openxmlformats.org/markup-compatibility/2006">
          <mc:Choice Requires="x14">
            <control shapeId="1491" r:id="rId470" name="Button 467">
              <controlPr defaultSize="0" autoFill="0" autoLine="0" autoPict="0" macro="[1]!Sheet1.deleteRow">
                <anchor moveWithCells="1" sizeWithCells="1">
                  <from>
                    <xdr:col>6</xdr:col>
                    <xdr:colOff>0</xdr:colOff>
                    <xdr:row>910</xdr:row>
                    <xdr:rowOff>0</xdr:rowOff>
                  </from>
                  <to>
                    <xdr:col>7</xdr:col>
                    <xdr:colOff>0</xdr:colOff>
                    <xdr:row>910</xdr:row>
                    <xdr:rowOff>133350</xdr:rowOff>
                  </to>
                </anchor>
              </controlPr>
            </control>
          </mc:Choice>
        </mc:AlternateContent>
        <mc:AlternateContent xmlns:mc="http://schemas.openxmlformats.org/markup-compatibility/2006">
          <mc:Choice Requires="x14">
            <control shapeId="1492" r:id="rId471" name="Button 468">
              <controlPr defaultSize="0" autoFill="0" autoLine="0" autoPict="0" macro="[1]!Sheet1.deleteRow">
                <anchor moveWithCells="1" sizeWithCells="1">
                  <from>
                    <xdr:col>6</xdr:col>
                    <xdr:colOff>0</xdr:colOff>
                    <xdr:row>911</xdr:row>
                    <xdr:rowOff>0</xdr:rowOff>
                  </from>
                  <to>
                    <xdr:col>7</xdr:col>
                    <xdr:colOff>0</xdr:colOff>
                    <xdr:row>911</xdr:row>
                    <xdr:rowOff>133350</xdr:rowOff>
                  </to>
                </anchor>
              </controlPr>
            </control>
          </mc:Choice>
        </mc:AlternateContent>
        <mc:AlternateContent xmlns:mc="http://schemas.openxmlformats.org/markup-compatibility/2006">
          <mc:Choice Requires="x14">
            <control shapeId="1493" r:id="rId472" name="Button 469">
              <controlPr defaultSize="0" autoFill="0" autoLine="0" autoPict="0" macro="[1]!Sheet1.deleteRow">
                <anchor moveWithCells="1" sizeWithCells="1">
                  <from>
                    <xdr:col>6</xdr:col>
                    <xdr:colOff>0</xdr:colOff>
                    <xdr:row>912</xdr:row>
                    <xdr:rowOff>0</xdr:rowOff>
                  </from>
                  <to>
                    <xdr:col>7</xdr:col>
                    <xdr:colOff>0</xdr:colOff>
                    <xdr:row>912</xdr:row>
                    <xdr:rowOff>133350</xdr:rowOff>
                  </to>
                </anchor>
              </controlPr>
            </control>
          </mc:Choice>
        </mc:AlternateContent>
        <mc:AlternateContent xmlns:mc="http://schemas.openxmlformats.org/markup-compatibility/2006">
          <mc:Choice Requires="x14">
            <control shapeId="1494" r:id="rId473" name="Button 470">
              <controlPr defaultSize="0" autoFill="0" autoLine="0" autoPict="0" macro="[1]!Sheet1.deleteRow">
                <anchor moveWithCells="1" sizeWithCells="1">
                  <from>
                    <xdr:col>6</xdr:col>
                    <xdr:colOff>0</xdr:colOff>
                    <xdr:row>913</xdr:row>
                    <xdr:rowOff>0</xdr:rowOff>
                  </from>
                  <to>
                    <xdr:col>7</xdr:col>
                    <xdr:colOff>0</xdr:colOff>
                    <xdr:row>913</xdr:row>
                    <xdr:rowOff>133350</xdr:rowOff>
                  </to>
                </anchor>
              </controlPr>
            </control>
          </mc:Choice>
        </mc:AlternateContent>
        <mc:AlternateContent xmlns:mc="http://schemas.openxmlformats.org/markup-compatibility/2006">
          <mc:Choice Requires="x14">
            <control shapeId="1495" r:id="rId474" name="Button 471">
              <controlPr defaultSize="0" autoFill="0" autoLine="0" autoPict="0" macro="[1]!Sheet1.deleteRow">
                <anchor moveWithCells="1" sizeWithCells="1">
                  <from>
                    <xdr:col>6</xdr:col>
                    <xdr:colOff>0</xdr:colOff>
                    <xdr:row>914</xdr:row>
                    <xdr:rowOff>0</xdr:rowOff>
                  </from>
                  <to>
                    <xdr:col>7</xdr:col>
                    <xdr:colOff>0</xdr:colOff>
                    <xdr:row>914</xdr:row>
                    <xdr:rowOff>133350</xdr:rowOff>
                  </to>
                </anchor>
              </controlPr>
            </control>
          </mc:Choice>
        </mc:AlternateContent>
        <mc:AlternateContent xmlns:mc="http://schemas.openxmlformats.org/markup-compatibility/2006">
          <mc:Choice Requires="x14">
            <control shapeId="1496" r:id="rId475" name="Button 472">
              <controlPr defaultSize="0" autoFill="0" autoLine="0" autoPict="0" macro="[1]!Sheet1.deleteRow">
                <anchor moveWithCells="1" sizeWithCells="1">
                  <from>
                    <xdr:col>6</xdr:col>
                    <xdr:colOff>0</xdr:colOff>
                    <xdr:row>915</xdr:row>
                    <xdr:rowOff>0</xdr:rowOff>
                  </from>
                  <to>
                    <xdr:col>7</xdr:col>
                    <xdr:colOff>0</xdr:colOff>
                    <xdr:row>915</xdr:row>
                    <xdr:rowOff>133350</xdr:rowOff>
                  </to>
                </anchor>
              </controlPr>
            </control>
          </mc:Choice>
        </mc:AlternateContent>
        <mc:AlternateContent xmlns:mc="http://schemas.openxmlformats.org/markup-compatibility/2006">
          <mc:Choice Requires="x14">
            <control shapeId="1497" r:id="rId476" name="Button 473">
              <controlPr defaultSize="0" autoFill="0" autoLine="0" autoPict="0" macro="[1]!Sheet1.deleteRow">
                <anchor moveWithCells="1" sizeWithCells="1">
                  <from>
                    <xdr:col>6</xdr:col>
                    <xdr:colOff>0</xdr:colOff>
                    <xdr:row>916</xdr:row>
                    <xdr:rowOff>0</xdr:rowOff>
                  </from>
                  <to>
                    <xdr:col>7</xdr:col>
                    <xdr:colOff>0</xdr:colOff>
                    <xdr:row>916</xdr:row>
                    <xdr:rowOff>133350</xdr:rowOff>
                  </to>
                </anchor>
              </controlPr>
            </control>
          </mc:Choice>
        </mc:AlternateContent>
        <mc:AlternateContent xmlns:mc="http://schemas.openxmlformats.org/markup-compatibility/2006">
          <mc:Choice Requires="x14">
            <control shapeId="1498" r:id="rId477" name="Button 474">
              <controlPr defaultSize="0" autoFill="0" autoLine="0" autoPict="0" macro="[1]!Sheet1.deleteRow">
                <anchor moveWithCells="1" sizeWithCells="1">
                  <from>
                    <xdr:col>6</xdr:col>
                    <xdr:colOff>0</xdr:colOff>
                    <xdr:row>917</xdr:row>
                    <xdr:rowOff>0</xdr:rowOff>
                  </from>
                  <to>
                    <xdr:col>7</xdr:col>
                    <xdr:colOff>0</xdr:colOff>
                    <xdr:row>917</xdr:row>
                    <xdr:rowOff>133350</xdr:rowOff>
                  </to>
                </anchor>
              </controlPr>
            </control>
          </mc:Choice>
        </mc:AlternateContent>
        <mc:AlternateContent xmlns:mc="http://schemas.openxmlformats.org/markup-compatibility/2006">
          <mc:Choice Requires="x14">
            <control shapeId="1499" r:id="rId478" name="Button 475">
              <controlPr defaultSize="0" autoFill="0" autoLine="0" autoPict="0" macro="[1]!Sheet1.deleteRow">
                <anchor moveWithCells="1" sizeWithCells="1">
                  <from>
                    <xdr:col>6</xdr:col>
                    <xdr:colOff>0</xdr:colOff>
                    <xdr:row>918</xdr:row>
                    <xdr:rowOff>0</xdr:rowOff>
                  </from>
                  <to>
                    <xdr:col>7</xdr:col>
                    <xdr:colOff>0</xdr:colOff>
                    <xdr:row>918</xdr:row>
                    <xdr:rowOff>133350</xdr:rowOff>
                  </to>
                </anchor>
              </controlPr>
            </control>
          </mc:Choice>
        </mc:AlternateContent>
        <mc:AlternateContent xmlns:mc="http://schemas.openxmlformats.org/markup-compatibility/2006">
          <mc:Choice Requires="x14">
            <control shapeId="1500" r:id="rId479" name="Button 476">
              <controlPr defaultSize="0" autoFill="0" autoLine="0" autoPict="0" macro="[1]!Sheet1.deleteRow">
                <anchor moveWithCells="1" sizeWithCells="1">
                  <from>
                    <xdr:col>6</xdr:col>
                    <xdr:colOff>0</xdr:colOff>
                    <xdr:row>919</xdr:row>
                    <xdr:rowOff>0</xdr:rowOff>
                  </from>
                  <to>
                    <xdr:col>7</xdr:col>
                    <xdr:colOff>0</xdr:colOff>
                    <xdr:row>919</xdr:row>
                    <xdr:rowOff>133350</xdr:rowOff>
                  </to>
                </anchor>
              </controlPr>
            </control>
          </mc:Choice>
        </mc:AlternateContent>
        <mc:AlternateContent xmlns:mc="http://schemas.openxmlformats.org/markup-compatibility/2006">
          <mc:Choice Requires="x14">
            <control shapeId="1501" r:id="rId480" name="Button 477">
              <controlPr defaultSize="0" autoFill="0" autoLine="0" autoPict="0" macro="[1]!Sheet1.deleteRow">
                <anchor moveWithCells="1" sizeWithCells="1">
                  <from>
                    <xdr:col>6</xdr:col>
                    <xdr:colOff>0</xdr:colOff>
                    <xdr:row>920</xdr:row>
                    <xdr:rowOff>0</xdr:rowOff>
                  </from>
                  <to>
                    <xdr:col>7</xdr:col>
                    <xdr:colOff>0</xdr:colOff>
                    <xdr:row>920</xdr:row>
                    <xdr:rowOff>133350</xdr:rowOff>
                  </to>
                </anchor>
              </controlPr>
            </control>
          </mc:Choice>
        </mc:AlternateContent>
        <mc:AlternateContent xmlns:mc="http://schemas.openxmlformats.org/markup-compatibility/2006">
          <mc:Choice Requires="x14">
            <control shapeId="1502" r:id="rId481" name="Button 478">
              <controlPr defaultSize="0" autoFill="0" autoLine="0" autoPict="0" macro="[1]!Sheet1.deleteRow">
                <anchor moveWithCells="1" sizeWithCells="1">
                  <from>
                    <xdr:col>6</xdr:col>
                    <xdr:colOff>0</xdr:colOff>
                    <xdr:row>921</xdr:row>
                    <xdr:rowOff>0</xdr:rowOff>
                  </from>
                  <to>
                    <xdr:col>7</xdr:col>
                    <xdr:colOff>0</xdr:colOff>
                    <xdr:row>921</xdr:row>
                    <xdr:rowOff>133350</xdr:rowOff>
                  </to>
                </anchor>
              </controlPr>
            </control>
          </mc:Choice>
        </mc:AlternateContent>
        <mc:AlternateContent xmlns:mc="http://schemas.openxmlformats.org/markup-compatibility/2006">
          <mc:Choice Requires="x14">
            <control shapeId="1503" r:id="rId482" name="Button 479">
              <controlPr defaultSize="0" autoFill="0" autoLine="0" autoPict="0" macro="[1]!Sheet1.deleteRow">
                <anchor moveWithCells="1" sizeWithCells="1">
                  <from>
                    <xdr:col>6</xdr:col>
                    <xdr:colOff>0</xdr:colOff>
                    <xdr:row>922</xdr:row>
                    <xdr:rowOff>0</xdr:rowOff>
                  </from>
                  <to>
                    <xdr:col>7</xdr:col>
                    <xdr:colOff>0</xdr:colOff>
                    <xdr:row>922</xdr:row>
                    <xdr:rowOff>133350</xdr:rowOff>
                  </to>
                </anchor>
              </controlPr>
            </control>
          </mc:Choice>
        </mc:AlternateContent>
        <mc:AlternateContent xmlns:mc="http://schemas.openxmlformats.org/markup-compatibility/2006">
          <mc:Choice Requires="x14">
            <control shapeId="1504" r:id="rId483" name="Button 480">
              <controlPr defaultSize="0" autoFill="0" autoLine="0" autoPict="0" macro="[1]!Sheet1.deleteRow">
                <anchor moveWithCells="1" sizeWithCells="1">
                  <from>
                    <xdr:col>6</xdr:col>
                    <xdr:colOff>0</xdr:colOff>
                    <xdr:row>923</xdr:row>
                    <xdr:rowOff>0</xdr:rowOff>
                  </from>
                  <to>
                    <xdr:col>7</xdr:col>
                    <xdr:colOff>0</xdr:colOff>
                    <xdr:row>923</xdr:row>
                    <xdr:rowOff>133350</xdr:rowOff>
                  </to>
                </anchor>
              </controlPr>
            </control>
          </mc:Choice>
        </mc:AlternateContent>
        <mc:AlternateContent xmlns:mc="http://schemas.openxmlformats.org/markup-compatibility/2006">
          <mc:Choice Requires="x14">
            <control shapeId="1505" r:id="rId484" name="Button 481">
              <controlPr defaultSize="0" autoFill="0" autoLine="0" autoPict="0" macro="[1]!Sheet1.deleteRow">
                <anchor moveWithCells="1" sizeWithCells="1">
                  <from>
                    <xdr:col>6</xdr:col>
                    <xdr:colOff>0</xdr:colOff>
                    <xdr:row>924</xdr:row>
                    <xdr:rowOff>0</xdr:rowOff>
                  </from>
                  <to>
                    <xdr:col>7</xdr:col>
                    <xdr:colOff>0</xdr:colOff>
                    <xdr:row>924</xdr:row>
                    <xdr:rowOff>133350</xdr:rowOff>
                  </to>
                </anchor>
              </controlPr>
            </control>
          </mc:Choice>
        </mc:AlternateContent>
        <mc:AlternateContent xmlns:mc="http://schemas.openxmlformats.org/markup-compatibility/2006">
          <mc:Choice Requires="x14">
            <control shapeId="1506" r:id="rId485" name="Button 482">
              <controlPr defaultSize="0" autoFill="0" autoLine="0" autoPict="0" macro="[1]!Sheet1.deleteRow">
                <anchor moveWithCells="1" sizeWithCells="1">
                  <from>
                    <xdr:col>6</xdr:col>
                    <xdr:colOff>0</xdr:colOff>
                    <xdr:row>925</xdr:row>
                    <xdr:rowOff>0</xdr:rowOff>
                  </from>
                  <to>
                    <xdr:col>7</xdr:col>
                    <xdr:colOff>0</xdr:colOff>
                    <xdr:row>925</xdr:row>
                    <xdr:rowOff>133350</xdr:rowOff>
                  </to>
                </anchor>
              </controlPr>
            </control>
          </mc:Choice>
        </mc:AlternateContent>
        <mc:AlternateContent xmlns:mc="http://schemas.openxmlformats.org/markup-compatibility/2006">
          <mc:Choice Requires="x14">
            <control shapeId="1507" r:id="rId486" name="Button 483">
              <controlPr defaultSize="0" autoFill="0" autoLine="0" autoPict="0" macro="[1]!Sheet1.deleteRow">
                <anchor moveWithCells="1" sizeWithCells="1">
                  <from>
                    <xdr:col>6</xdr:col>
                    <xdr:colOff>0</xdr:colOff>
                    <xdr:row>926</xdr:row>
                    <xdr:rowOff>0</xdr:rowOff>
                  </from>
                  <to>
                    <xdr:col>7</xdr:col>
                    <xdr:colOff>0</xdr:colOff>
                    <xdr:row>926</xdr:row>
                    <xdr:rowOff>133350</xdr:rowOff>
                  </to>
                </anchor>
              </controlPr>
            </control>
          </mc:Choice>
        </mc:AlternateContent>
        <mc:AlternateContent xmlns:mc="http://schemas.openxmlformats.org/markup-compatibility/2006">
          <mc:Choice Requires="x14">
            <control shapeId="1508" r:id="rId487" name="Button 484">
              <controlPr defaultSize="0" autoFill="0" autoLine="0" autoPict="0" macro="[1]!Sheet1.deleteRow">
                <anchor moveWithCells="1" sizeWithCells="1">
                  <from>
                    <xdr:col>6</xdr:col>
                    <xdr:colOff>0</xdr:colOff>
                    <xdr:row>927</xdr:row>
                    <xdr:rowOff>0</xdr:rowOff>
                  </from>
                  <to>
                    <xdr:col>7</xdr:col>
                    <xdr:colOff>0</xdr:colOff>
                    <xdr:row>927</xdr:row>
                    <xdr:rowOff>133350</xdr:rowOff>
                  </to>
                </anchor>
              </controlPr>
            </control>
          </mc:Choice>
        </mc:AlternateContent>
        <mc:AlternateContent xmlns:mc="http://schemas.openxmlformats.org/markup-compatibility/2006">
          <mc:Choice Requires="x14">
            <control shapeId="1509" r:id="rId488" name="Button 485">
              <controlPr defaultSize="0" autoFill="0" autoLine="0" autoPict="0" macro="[1]!Sheet1.deleteRow">
                <anchor moveWithCells="1" sizeWithCells="1">
                  <from>
                    <xdr:col>6</xdr:col>
                    <xdr:colOff>0</xdr:colOff>
                    <xdr:row>928</xdr:row>
                    <xdr:rowOff>0</xdr:rowOff>
                  </from>
                  <to>
                    <xdr:col>7</xdr:col>
                    <xdr:colOff>0</xdr:colOff>
                    <xdr:row>928</xdr:row>
                    <xdr:rowOff>133350</xdr:rowOff>
                  </to>
                </anchor>
              </controlPr>
            </control>
          </mc:Choice>
        </mc:AlternateContent>
        <mc:AlternateContent xmlns:mc="http://schemas.openxmlformats.org/markup-compatibility/2006">
          <mc:Choice Requires="x14">
            <control shapeId="1510" r:id="rId489" name="Button 486">
              <controlPr defaultSize="0" autoFill="0" autoLine="0" autoPict="0" macro="[1]!Sheet1.deleteRow">
                <anchor moveWithCells="1" sizeWithCells="1">
                  <from>
                    <xdr:col>6</xdr:col>
                    <xdr:colOff>0</xdr:colOff>
                    <xdr:row>929</xdr:row>
                    <xdr:rowOff>0</xdr:rowOff>
                  </from>
                  <to>
                    <xdr:col>7</xdr:col>
                    <xdr:colOff>0</xdr:colOff>
                    <xdr:row>929</xdr:row>
                    <xdr:rowOff>133350</xdr:rowOff>
                  </to>
                </anchor>
              </controlPr>
            </control>
          </mc:Choice>
        </mc:AlternateContent>
        <mc:AlternateContent xmlns:mc="http://schemas.openxmlformats.org/markup-compatibility/2006">
          <mc:Choice Requires="x14">
            <control shapeId="1511" r:id="rId490" name="Button 487">
              <controlPr defaultSize="0" autoFill="0" autoLine="0" autoPict="0" macro="[1]!Sheet1.deleteRow">
                <anchor moveWithCells="1" sizeWithCells="1">
                  <from>
                    <xdr:col>6</xdr:col>
                    <xdr:colOff>0</xdr:colOff>
                    <xdr:row>930</xdr:row>
                    <xdr:rowOff>0</xdr:rowOff>
                  </from>
                  <to>
                    <xdr:col>7</xdr:col>
                    <xdr:colOff>0</xdr:colOff>
                    <xdr:row>930</xdr:row>
                    <xdr:rowOff>133350</xdr:rowOff>
                  </to>
                </anchor>
              </controlPr>
            </control>
          </mc:Choice>
        </mc:AlternateContent>
        <mc:AlternateContent xmlns:mc="http://schemas.openxmlformats.org/markup-compatibility/2006">
          <mc:Choice Requires="x14">
            <control shapeId="1512" r:id="rId491" name="Button 488">
              <controlPr defaultSize="0" autoFill="0" autoLine="0" autoPict="0" macro="[1]!Sheet1.deleteRow">
                <anchor moveWithCells="1" sizeWithCells="1">
                  <from>
                    <xdr:col>6</xdr:col>
                    <xdr:colOff>0</xdr:colOff>
                    <xdr:row>931</xdr:row>
                    <xdr:rowOff>0</xdr:rowOff>
                  </from>
                  <to>
                    <xdr:col>7</xdr:col>
                    <xdr:colOff>0</xdr:colOff>
                    <xdr:row>931</xdr:row>
                    <xdr:rowOff>133350</xdr:rowOff>
                  </to>
                </anchor>
              </controlPr>
            </control>
          </mc:Choice>
        </mc:AlternateContent>
        <mc:AlternateContent xmlns:mc="http://schemas.openxmlformats.org/markup-compatibility/2006">
          <mc:Choice Requires="x14">
            <control shapeId="1513" r:id="rId492" name="Button 489">
              <controlPr defaultSize="0" autoFill="0" autoLine="0" autoPict="0" macro="[1]!Sheet1.deleteRow">
                <anchor moveWithCells="1" sizeWithCells="1">
                  <from>
                    <xdr:col>6</xdr:col>
                    <xdr:colOff>0</xdr:colOff>
                    <xdr:row>932</xdr:row>
                    <xdr:rowOff>0</xdr:rowOff>
                  </from>
                  <to>
                    <xdr:col>7</xdr:col>
                    <xdr:colOff>0</xdr:colOff>
                    <xdr:row>932</xdr:row>
                    <xdr:rowOff>133350</xdr:rowOff>
                  </to>
                </anchor>
              </controlPr>
            </control>
          </mc:Choice>
        </mc:AlternateContent>
        <mc:AlternateContent xmlns:mc="http://schemas.openxmlformats.org/markup-compatibility/2006">
          <mc:Choice Requires="x14">
            <control shapeId="1514" r:id="rId493" name="Button 490">
              <controlPr defaultSize="0" autoFill="0" autoLine="0" autoPict="0" macro="[1]!Sheet1.deleteRow">
                <anchor moveWithCells="1" sizeWithCells="1">
                  <from>
                    <xdr:col>6</xdr:col>
                    <xdr:colOff>0</xdr:colOff>
                    <xdr:row>933</xdr:row>
                    <xdr:rowOff>0</xdr:rowOff>
                  </from>
                  <to>
                    <xdr:col>7</xdr:col>
                    <xdr:colOff>0</xdr:colOff>
                    <xdr:row>933</xdr:row>
                    <xdr:rowOff>133350</xdr:rowOff>
                  </to>
                </anchor>
              </controlPr>
            </control>
          </mc:Choice>
        </mc:AlternateContent>
        <mc:AlternateContent xmlns:mc="http://schemas.openxmlformats.org/markup-compatibility/2006">
          <mc:Choice Requires="x14">
            <control shapeId="1515" r:id="rId494" name="Button 491">
              <controlPr defaultSize="0" autoFill="0" autoLine="0" autoPict="0" macro="[1]!Sheet1.deleteRow">
                <anchor moveWithCells="1" sizeWithCells="1">
                  <from>
                    <xdr:col>6</xdr:col>
                    <xdr:colOff>0</xdr:colOff>
                    <xdr:row>934</xdr:row>
                    <xdr:rowOff>0</xdr:rowOff>
                  </from>
                  <to>
                    <xdr:col>7</xdr:col>
                    <xdr:colOff>0</xdr:colOff>
                    <xdr:row>934</xdr:row>
                    <xdr:rowOff>133350</xdr:rowOff>
                  </to>
                </anchor>
              </controlPr>
            </control>
          </mc:Choice>
        </mc:AlternateContent>
        <mc:AlternateContent xmlns:mc="http://schemas.openxmlformats.org/markup-compatibility/2006">
          <mc:Choice Requires="x14">
            <control shapeId="1516" r:id="rId495" name="Button 492">
              <controlPr defaultSize="0" autoFill="0" autoLine="0" autoPict="0" macro="[1]!Sheet1.deleteRow">
                <anchor moveWithCells="1" sizeWithCells="1">
                  <from>
                    <xdr:col>6</xdr:col>
                    <xdr:colOff>0</xdr:colOff>
                    <xdr:row>935</xdr:row>
                    <xdr:rowOff>0</xdr:rowOff>
                  </from>
                  <to>
                    <xdr:col>7</xdr:col>
                    <xdr:colOff>0</xdr:colOff>
                    <xdr:row>935</xdr:row>
                    <xdr:rowOff>133350</xdr:rowOff>
                  </to>
                </anchor>
              </controlPr>
            </control>
          </mc:Choice>
        </mc:AlternateContent>
        <mc:AlternateContent xmlns:mc="http://schemas.openxmlformats.org/markup-compatibility/2006">
          <mc:Choice Requires="x14">
            <control shapeId="1517" r:id="rId496" name="Button 493">
              <controlPr defaultSize="0" autoFill="0" autoLine="0" autoPict="0" macro="[1]!Sheet1.deleteRow">
                <anchor moveWithCells="1" sizeWithCells="1">
                  <from>
                    <xdr:col>6</xdr:col>
                    <xdr:colOff>0</xdr:colOff>
                    <xdr:row>936</xdr:row>
                    <xdr:rowOff>0</xdr:rowOff>
                  </from>
                  <to>
                    <xdr:col>7</xdr:col>
                    <xdr:colOff>0</xdr:colOff>
                    <xdr:row>936</xdr:row>
                    <xdr:rowOff>133350</xdr:rowOff>
                  </to>
                </anchor>
              </controlPr>
            </control>
          </mc:Choice>
        </mc:AlternateContent>
        <mc:AlternateContent xmlns:mc="http://schemas.openxmlformats.org/markup-compatibility/2006">
          <mc:Choice Requires="x14">
            <control shapeId="1518" r:id="rId497" name="Button 494">
              <controlPr defaultSize="0" autoFill="0" autoLine="0" autoPict="0" macro="[1]!Sheet1.deleteRow">
                <anchor moveWithCells="1" sizeWithCells="1">
                  <from>
                    <xdr:col>6</xdr:col>
                    <xdr:colOff>0</xdr:colOff>
                    <xdr:row>937</xdr:row>
                    <xdr:rowOff>0</xdr:rowOff>
                  </from>
                  <to>
                    <xdr:col>7</xdr:col>
                    <xdr:colOff>0</xdr:colOff>
                    <xdr:row>937</xdr:row>
                    <xdr:rowOff>133350</xdr:rowOff>
                  </to>
                </anchor>
              </controlPr>
            </control>
          </mc:Choice>
        </mc:AlternateContent>
        <mc:AlternateContent xmlns:mc="http://schemas.openxmlformats.org/markup-compatibility/2006">
          <mc:Choice Requires="x14">
            <control shapeId="1519" r:id="rId498" name="Button 495">
              <controlPr defaultSize="0" autoFill="0" autoLine="0" autoPict="0" macro="[1]!Sheet1.deleteRow">
                <anchor moveWithCells="1" sizeWithCells="1">
                  <from>
                    <xdr:col>6</xdr:col>
                    <xdr:colOff>0</xdr:colOff>
                    <xdr:row>938</xdr:row>
                    <xdr:rowOff>0</xdr:rowOff>
                  </from>
                  <to>
                    <xdr:col>7</xdr:col>
                    <xdr:colOff>0</xdr:colOff>
                    <xdr:row>938</xdr:row>
                    <xdr:rowOff>133350</xdr:rowOff>
                  </to>
                </anchor>
              </controlPr>
            </control>
          </mc:Choice>
        </mc:AlternateContent>
        <mc:AlternateContent xmlns:mc="http://schemas.openxmlformats.org/markup-compatibility/2006">
          <mc:Choice Requires="x14">
            <control shapeId="1520" r:id="rId499" name="Button 496">
              <controlPr defaultSize="0" autoFill="0" autoLine="0" autoPict="0" macro="[1]!Sheet1.deleteRow">
                <anchor moveWithCells="1" sizeWithCells="1">
                  <from>
                    <xdr:col>6</xdr:col>
                    <xdr:colOff>0</xdr:colOff>
                    <xdr:row>939</xdr:row>
                    <xdr:rowOff>0</xdr:rowOff>
                  </from>
                  <to>
                    <xdr:col>7</xdr:col>
                    <xdr:colOff>0</xdr:colOff>
                    <xdr:row>939</xdr:row>
                    <xdr:rowOff>133350</xdr:rowOff>
                  </to>
                </anchor>
              </controlPr>
            </control>
          </mc:Choice>
        </mc:AlternateContent>
        <mc:AlternateContent xmlns:mc="http://schemas.openxmlformats.org/markup-compatibility/2006">
          <mc:Choice Requires="x14">
            <control shapeId="1521" r:id="rId500" name="Button 497">
              <controlPr defaultSize="0" autoFill="0" autoLine="0" autoPict="0" macro="[1]!Sheet1.deleteRow">
                <anchor moveWithCells="1" sizeWithCells="1">
                  <from>
                    <xdr:col>6</xdr:col>
                    <xdr:colOff>0</xdr:colOff>
                    <xdr:row>940</xdr:row>
                    <xdr:rowOff>0</xdr:rowOff>
                  </from>
                  <to>
                    <xdr:col>7</xdr:col>
                    <xdr:colOff>0</xdr:colOff>
                    <xdr:row>940</xdr:row>
                    <xdr:rowOff>133350</xdr:rowOff>
                  </to>
                </anchor>
              </controlPr>
            </control>
          </mc:Choice>
        </mc:AlternateContent>
        <mc:AlternateContent xmlns:mc="http://schemas.openxmlformats.org/markup-compatibility/2006">
          <mc:Choice Requires="x14">
            <control shapeId="1522" r:id="rId501" name="Button 498">
              <controlPr defaultSize="0" autoFill="0" autoLine="0" autoPict="0" macro="[1]!Sheet1.deleteRow">
                <anchor moveWithCells="1" sizeWithCells="1">
                  <from>
                    <xdr:col>6</xdr:col>
                    <xdr:colOff>0</xdr:colOff>
                    <xdr:row>941</xdr:row>
                    <xdr:rowOff>0</xdr:rowOff>
                  </from>
                  <to>
                    <xdr:col>7</xdr:col>
                    <xdr:colOff>0</xdr:colOff>
                    <xdr:row>941</xdr:row>
                    <xdr:rowOff>133350</xdr:rowOff>
                  </to>
                </anchor>
              </controlPr>
            </control>
          </mc:Choice>
        </mc:AlternateContent>
        <mc:AlternateContent xmlns:mc="http://schemas.openxmlformats.org/markup-compatibility/2006">
          <mc:Choice Requires="x14">
            <control shapeId="1523" r:id="rId502" name="Button 499">
              <controlPr defaultSize="0" autoFill="0" autoLine="0" autoPict="0" macro="[1]!Sheet1.deleteRow">
                <anchor moveWithCells="1" sizeWithCells="1">
                  <from>
                    <xdr:col>6</xdr:col>
                    <xdr:colOff>0</xdr:colOff>
                    <xdr:row>942</xdr:row>
                    <xdr:rowOff>0</xdr:rowOff>
                  </from>
                  <to>
                    <xdr:col>7</xdr:col>
                    <xdr:colOff>0</xdr:colOff>
                    <xdr:row>942</xdr:row>
                    <xdr:rowOff>133350</xdr:rowOff>
                  </to>
                </anchor>
              </controlPr>
            </control>
          </mc:Choice>
        </mc:AlternateContent>
        <mc:AlternateContent xmlns:mc="http://schemas.openxmlformats.org/markup-compatibility/2006">
          <mc:Choice Requires="x14">
            <control shapeId="1524" r:id="rId503" name="Button 500">
              <controlPr defaultSize="0" autoFill="0" autoLine="0" autoPict="0" macro="[1]!Sheet1.deleteRow">
                <anchor moveWithCells="1" sizeWithCells="1">
                  <from>
                    <xdr:col>6</xdr:col>
                    <xdr:colOff>0</xdr:colOff>
                    <xdr:row>943</xdr:row>
                    <xdr:rowOff>0</xdr:rowOff>
                  </from>
                  <to>
                    <xdr:col>7</xdr:col>
                    <xdr:colOff>0</xdr:colOff>
                    <xdr:row>943</xdr:row>
                    <xdr:rowOff>133350</xdr:rowOff>
                  </to>
                </anchor>
              </controlPr>
            </control>
          </mc:Choice>
        </mc:AlternateContent>
        <mc:AlternateContent xmlns:mc="http://schemas.openxmlformats.org/markup-compatibility/2006">
          <mc:Choice Requires="x14">
            <control shapeId="1525" r:id="rId504" name="Button 501">
              <controlPr defaultSize="0" autoFill="0" autoLine="0" autoPict="0" macro="[1]!Sheet1.deleteRow">
                <anchor moveWithCells="1" sizeWithCells="1">
                  <from>
                    <xdr:col>6</xdr:col>
                    <xdr:colOff>0</xdr:colOff>
                    <xdr:row>944</xdr:row>
                    <xdr:rowOff>0</xdr:rowOff>
                  </from>
                  <to>
                    <xdr:col>7</xdr:col>
                    <xdr:colOff>0</xdr:colOff>
                    <xdr:row>944</xdr:row>
                    <xdr:rowOff>133350</xdr:rowOff>
                  </to>
                </anchor>
              </controlPr>
            </control>
          </mc:Choice>
        </mc:AlternateContent>
        <mc:AlternateContent xmlns:mc="http://schemas.openxmlformats.org/markup-compatibility/2006">
          <mc:Choice Requires="x14">
            <control shapeId="1526" r:id="rId505" name="Button 502">
              <controlPr defaultSize="0" autoFill="0" autoLine="0" autoPict="0" macro="[1]!Sheet1.deleteRow">
                <anchor moveWithCells="1" sizeWithCells="1">
                  <from>
                    <xdr:col>6</xdr:col>
                    <xdr:colOff>0</xdr:colOff>
                    <xdr:row>945</xdr:row>
                    <xdr:rowOff>0</xdr:rowOff>
                  </from>
                  <to>
                    <xdr:col>7</xdr:col>
                    <xdr:colOff>0</xdr:colOff>
                    <xdr:row>945</xdr:row>
                    <xdr:rowOff>133350</xdr:rowOff>
                  </to>
                </anchor>
              </controlPr>
            </control>
          </mc:Choice>
        </mc:AlternateContent>
        <mc:AlternateContent xmlns:mc="http://schemas.openxmlformats.org/markup-compatibility/2006">
          <mc:Choice Requires="x14">
            <control shapeId="1527" r:id="rId506" name="Button 503">
              <controlPr defaultSize="0" autoFill="0" autoLine="0" autoPict="0" macro="[1]!Sheet1.deleteRow">
                <anchor moveWithCells="1" sizeWithCells="1">
                  <from>
                    <xdr:col>6</xdr:col>
                    <xdr:colOff>0</xdr:colOff>
                    <xdr:row>946</xdr:row>
                    <xdr:rowOff>0</xdr:rowOff>
                  </from>
                  <to>
                    <xdr:col>7</xdr:col>
                    <xdr:colOff>0</xdr:colOff>
                    <xdr:row>946</xdr:row>
                    <xdr:rowOff>133350</xdr:rowOff>
                  </to>
                </anchor>
              </controlPr>
            </control>
          </mc:Choice>
        </mc:AlternateContent>
        <mc:AlternateContent xmlns:mc="http://schemas.openxmlformats.org/markup-compatibility/2006">
          <mc:Choice Requires="x14">
            <control shapeId="1528" r:id="rId507" name="Button 504">
              <controlPr defaultSize="0" autoFill="0" autoLine="0" autoPict="0" macro="[1]!Sheet1.deleteRow">
                <anchor moveWithCells="1" sizeWithCells="1">
                  <from>
                    <xdr:col>6</xdr:col>
                    <xdr:colOff>0</xdr:colOff>
                    <xdr:row>947</xdr:row>
                    <xdr:rowOff>0</xdr:rowOff>
                  </from>
                  <to>
                    <xdr:col>7</xdr:col>
                    <xdr:colOff>0</xdr:colOff>
                    <xdr:row>947</xdr:row>
                    <xdr:rowOff>133350</xdr:rowOff>
                  </to>
                </anchor>
              </controlPr>
            </control>
          </mc:Choice>
        </mc:AlternateContent>
        <mc:AlternateContent xmlns:mc="http://schemas.openxmlformats.org/markup-compatibility/2006">
          <mc:Choice Requires="x14">
            <control shapeId="1529" r:id="rId508" name="Button 505">
              <controlPr defaultSize="0" autoFill="0" autoLine="0" autoPict="0" macro="[1]!Sheet1.deleteRow">
                <anchor moveWithCells="1" sizeWithCells="1">
                  <from>
                    <xdr:col>6</xdr:col>
                    <xdr:colOff>0</xdr:colOff>
                    <xdr:row>948</xdr:row>
                    <xdr:rowOff>0</xdr:rowOff>
                  </from>
                  <to>
                    <xdr:col>7</xdr:col>
                    <xdr:colOff>0</xdr:colOff>
                    <xdr:row>948</xdr:row>
                    <xdr:rowOff>133350</xdr:rowOff>
                  </to>
                </anchor>
              </controlPr>
            </control>
          </mc:Choice>
        </mc:AlternateContent>
        <mc:AlternateContent xmlns:mc="http://schemas.openxmlformats.org/markup-compatibility/2006">
          <mc:Choice Requires="x14">
            <control shapeId="1530" r:id="rId509" name="Button 506">
              <controlPr defaultSize="0" autoFill="0" autoLine="0" autoPict="0" macro="[1]!Sheet1.deleteRow">
                <anchor moveWithCells="1" sizeWithCells="1">
                  <from>
                    <xdr:col>6</xdr:col>
                    <xdr:colOff>0</xdr:colOff>
                    <xdr:row>949</xdr:row>
                    <xdr:rowOff>0</xdr:rowOff>
                  </from>
                  <to>
                    <xdr:col>7</xdr:col>
                    <xdr:colOff>0</xdr:colOff>
                    <xdr:row>949</xdr:row>
                    <xdr:rowOff>133350</xdr:rowOff>
                  </to>
                </anchor>
              </controlPr>
            </control>
          </mc:Choice>
        </mc:AlternateContent>
        <mc:AlternateContent xmlns:mc="http://schemas.openxmlformats.org/markup-compatibility/2006">
          <mc:Choice Requires="x14">
            <control shapeId="1531" r:id="rId510" name="Button 507">
              <controlPr defaultSize="0" autoFill="0" autoLine="0" autoPict="0" macro="[1]!Sheet1.deleteRow">
                <anchor moveWithCells="1" sizeWithCells="1">
                  <from>
                    <xdr:col>6</xdr:col>
                    <xdr:colOff>0</xdr:colOff>
                    <xdr:row>950</xdr:row>
                    <xdr:rowOff>0</xdr:rowOff>
                  </from>
                  <to>
                    <xdr:col>7</xdr:col>
                    <xdr:colOff>0</xdr:colOff>
                    <xdr:row>950</xdr:row>
                    <xdr:rowOff>133350</xdr:rowOff>
                  </to>
                </anchor>
              </controlPr>
            </control>
          </mc:Choice>
        </mc:AlternateContent>
        <mc:AlternateContent xmlns:mc="http://schemas.openxmlformats.org/markup-compatibility/2006">
          <mc:Choice Requires="x14">
            <control shapeId="1532" r:id="rId511" name="Button 508">
              <controlPr defaultSize="0" autoFill="0" autoLine="0" autoPict="0" macro="[1]!Sheet1.deleteRow">
                <anchor moveWithCells="1" sizeWithCells="1">
                  <from>
                    <xdr:col>6</xdr:col>
                    <xdr:colOff>0</xdr:colOff>
                    <xdr:row>951</xdr:row>
                    <xdr:rowOff>0</xdr:rowOff>
                  </from>
                  <to>
                    <xdr:col>7</xdr:col>
                    <xdr:colOff>0</xdr:colOff>
                    <xdr:row>951</xdr:row>
                    <xdr:rowOff>133350</xdr:rowOff>
                  </to>
                </anchor>
              </controlPr>
            </control>
          </mc:Choice>
        </mc:AlternateContent>
        <mc:AlternateContent xmlns:mc="http://schemas.openxmlformats.org/markup-compatibility/2006">
          <mc:Choice Requires="x14">
            <control shapeId="1533" r:id="rId512" name="Button 509">
              <controlPr defaultSize="0" autoFill="0" autoLine="0" autoPict="0" macro="[1]!Sheet1.deleteRow">
                <anchor moveWithCells="1" sizeWithCells="1">
                  <from>
                    <xdr:col>6</xdr:col>
                    <xdr:colOff>0</xdr:colOff>
                    <xdr:row>952</xdr:row>
                    <xdr:rowOff>0</xdr:rowOff>
                  </from>
                  <to>
                    <xdr:col>7</xdr:col>
                    <xdr:colOff>0</xdr:colOff>
                    <xdr:row>952</xdr:row>
                    <xdr:rowOff>133350</xdr:rowOff>
                  </to>
                </anchor>
              </controlPr>
            </control>
          </mc:Choice>
        </mc:AlternateContent>
        <mc:AlternateContent xmlns:mc="http://schemas.openxmlformats.org/markup-compatibility/2006">
          <mc:Choice Requires="x14">
            <control shapeId="1534" r:id="rId513" name="Button 510">
              <controlPr defaultSize="0" autoFill="0" autoLine="0" autoPict="0" macro="[1]!Sheet1.deleteRow">
                <anchor moveWithCells="1" sizeWithCells="1">
                  <from>
                    <xdr:col>6</xdr:col>
                    <xdr:colOff>0</xdr:colOff>
                    <xdr:row>953</xdr:row>
                    <xdr:rowOff>0</xdr:rowOff>
                  </from>
                  <to>
                    <xdr:col>7</xdr:col>
                    <xdr:colOff>0</xdr:colOff>
                    <xdr:row>953</xdr:row>
                    <xdr:rowOff>133350</xdr:rowOff>
                  </to>
                </anchor>
              </controlPr>
            </control>
          </mc:Choice>
        </mc:AlternateContent>
        <mc:AlternateContent xmlns:mc="http://schemas.openxmlformats.org/markup-compatibility/2006">
          <mc:Choice Requires="x14">
            <control shapeId="1535" r:id="rId514" name="Button 511">
              <controlPr defaultSize="0" autoFill="0" autoLine="0" autoPict="0" macro="[1]!Sheet1.deleteRow">
                <anchor moveWithCells="1" sizeWithCells="1">
                  <from>
                    <xdr:col>6</xdr:col>
                    <xdr:colOff>0</xdr:colOff>
                    <xdr:row>954</xdr:row>
                    <xdr:rowOff>0</xdr:rowOff>
                  </from>
                  <to>
                    <xdr:col>7</xdr:col>
                    <xdr:colOff>0</xdr:colOff>
                    <xdr:row>954</xdr:row>
                    <xdr:rowOff>133350</xdr:rowOff>
                  </to>
                </anchor>
              </controlPr>
            </control>
          </mc:Choice>
        </mc:AlternateContent>
        <mc:AlternateContent xmlns:mc="http://schemas.openxmlformats.org/markup-compatibility/2006">
          <mc:Choice Requires="x14">
            <control shapeId="1536" r:id="rId515" name="Button 512">
              <controlPr defaultSize="0" autoFill="0" autoLine="0" autoPict="0" macro="[1]!Sheet1.deleteRow">
                <anchor moveWithCells="1" sizeWithCells="1">
                  <from>
                    <xdr:col>6</xdr:col>
                    <xdr:colOff>0</xdr:colOff>
                    <xdr:row>955</xdr:row>
                    <xdr:rowOff>0</xdr:rowOff>
                  </from>
                  <to>
                    <xdr:col>7</xdr:col>
                    <xdr:colOff>0</xdr:colOff>
                    <xdr:row>955</xdr:row>
                    <xdr:rowOff>133350</xdr:rowOff>
                  </to>
                </anchor>
              </controlPr>
            </control>
          </mc:Choice>
        </mc:AlternateContent>
        <mc:AlternateContent xmlns:mc="http://schemas.openxmlformats.org/markup-compatibility/2006">
          <mc:Choice Requires="x14">
            <control shapeId="1537" r:id="rId516" name="Button 513">
              <controlPr defaultSize="0" autoFill="0" autoLine="0" autoPict="0" macro="[1]!Sheet1.deleteRow">
                <anchor moveWithCells="1" sizeWithCells="1">
                  <from>
                    <xdr:col>6</xdr:col>
                    <xdr:colOff>0</xdr:colOff>
                    <xdr:row>956</xdr:row>
                    <xdr:rowOff>0</xdr:rowOff>
                  </from>
                  <to>
                    <xdr:col>7</xdr:col>
                    <xdr:colOff>0</xdr:colOff>
                    <xdr:row>956</xdr:row>
                    <xdr:rowOff>133350</xdr:rowOff>
                  </to>
                </anchor>
              </controlPr>
            </control>
          </mc:Choice>
        </mc:AlternateContent>
        <mc:AlternateContent xmlns:mc="http://schemas.openxmlformats.org/markup-compatibility/2006">
          <mc:Choice Requires="x14">
            <control shapeId="1538" r:id="rId517" name="Button 514">
              <controlPr defaultSize="0" autoFill="0" autoLine="0" autoPict="0" macro="[1]!Sheet1.deleteRow">
                <anchor moveWithCells="1" sizeWithCells="1">
                  <from>
                    <xdr:col>6</xdr:col>
                    <xdr:colOff>0</xdr:colOff>
                    <xdr:row>957</xdr:row>
                    <xdr:rowOff>0</xdr:rowOff>
                  </from>
                  <to>
                    <xdr:col>7</xdr:col>
                    <xdr:colOff>0</xdr:colOff>
                    <xdr:row>957</xdr:row>
                    <xdr:rowOff>133350</xdr:rowOff>
                  </to>
                </anchor>
              </controlPr>
            </control>
          </mc:Choice>
        </mc:AlternateContent>
        <mc:AlternateContent xmlns:mc="http://schemas.openxmlformats.org/markup-compatibility/2006">
          <mc:Choice Requires="x14">
            <control shapeId="1539" r:id="rId518" name="Button 515">
              <controlPr defaultSize="0" autoFill="0" autoLine="0" autoPict="0" macro="[1]!Sheet1.deleteRow">
                <anchor moveWithCells="1" sizeWithCells="1">
                  <from>
                    <xdr:col>6</xdr:col>
                    <xdr:colOff>0</xdr:colOff>
                    <xdr:row>958</xdr:row>
                    <xdr:rowOff>0</xdr:rowOff>
                  </from>
                  <to>
                    <xdr:col>7</xdr:col>
                    <xdr:colOff>0</xdr:colOff>
                    <xdr:row>958</xdr:row>
                    <xdr:rowOff>133350</xdr:rowOff>
                  </to>
                </anchor>
              </controlPr>
            </control>
          </mc:Choice>
        </mc:AlternateContent>
        <mc:AlternateContent xmlns:mc="http://schemas.openxmlformats.org/markup-compatibility/2006">
          <mc:Choice Requires="x14">
            <control shapeId="1540" r:id="rId519" name="Button 516">
              <controlPr defaultSize="0" autoFill="0" autoLine="0" autoPict="0" macro="[1]!Sheet1.deleteRow">
                <anchor moveWithCells="1" sizeWithCells="1">
                  <from>
                    <xdr:col>6</xdr:col>
                    <xdr:colOff>0</xdr:colOff>
                    <xdr:row>959</xdr:row>
                    <xdr:rowOff>0</xdr:rowOff>
                  </from>
                  <to>
                    <xdr:col>7</xdr:col>
                    <xdr:colOff>0</xdr:colOff>
                    <xdr:row>959</xdr:row>
                    <xdr:rowOff>133350</xdr:rowOff>
                  </to>
                </anchor>
              </controlPr>
            </control>
          </mc:Choice>
        </mc:AlternateContent>
        <mc:AlternateContent xmlns:mc="http://schemas.openxmlformats.org/markup-compatibility/2006">
          <mc:Choice Requires="x14">
            <control shapeId="1541" r:id="rId520" name="Button 517">
              <controlPr defaultSize="0" autoFill="0" autoLine="0" autoPict="0" macro="[1]!Sheet1.deleteRow">
                <anchor moveWithCells="1" sizeWithCells="1">
                  <from>
                    <xdr:col>6</xdr:col>
                    <xdr:colOff>0</xdr:colOff>
                    <xdr:row>960</xdr:row>
                    <xdr:rowOff>0</xdr:rowOff>
                  </from>
                  <to>
                    <xdr:col>7</xdr:col>
                    <xdr:colOff>0</xdr:colOff>
                    <xdr:row>960</xdr:row>
                    <xdr:rowOff>133350</xdr:rowOff>
                  </to>
                </anchor>
              </controlPr>
            </control>
          </mc:Choice>
        </mc:AlternateContent>
        <mc:AlternateContent xmlns:mc="http://schemas.openxmlformats.org/markup-compatibility/2006">
          <mc:Choice Requires="x14">
            <control shapeId="1542" r:id="rId521" name="Button 518">
              <controlPr defaultSize="0" autoFill="0" autoLine="0" autoPict="0" macro="[1]!Sheet1.deleteRow">
                <anchor moveWithCells="1" sizeWithCells="1">
                  <from>
                    <xdr:col>6</xdr:col>
                    <xdr:colOff>0</xdr:colOff>
                    <xdr:row>961</xdr:row>
                    <xdr:rowOff>0</xdr:rowOff>
                  </from>
                  <to>
                    <xdr:col>7</xdr:col>
                    <xdr:colOff>0</xdr:colOff>
                    <xdr:row>961</xdr:row>
                    <xdr:rowOff>133350</xdr:rowOff>
                  </to>
                </anchor>
              </controlPr>
            </control>
          </mc:Choice>
        </mc:AlternateContent>
        <mc:AlternateContent xmlns:mc="http://schemas.openxmlformats.org/markup-compatibility/2006">
          <mc:Choice Requires="x14">
            <control shapeId="1543" r:id="rId522" name="Button 519">
              <controlPr defaultSize="0" autoFill="0" autoLine="0" autoPict="0" macro="[1]!Sheet1.deleteRow">
                <anchor moveWithCells="1" sizeWithCells="1">
                  <from>
                    <xdr:col>6</xdr:col>
                    <xdr:colOff>0</xdr:colOff>
                    <xdr:row>962</xdr:row>
                    <xdr:rowOff>0</xdr:rowOff>
                  </from>
                  <to>
                    <xdr:col>7</xdr:col>
                    <xdr:colOff>0</xdr:colOff>
                    <xdr:row>962</xdr:row>
                    <xdr:rowOff>133350</xdr:rowOff>
                  </to>
                </anchor>
              </controlPr>
            </control>
          </mc:Choice>
        </mc:AlternateContent>
        <mc:AlternateContent xmlns:mc="http://schemas.openxmlformats.org/markup-compatibility/2006">
          <mc:Choice Requires="x14">
            <control shapeId="1544" r:id="rId523" name="Button 520">
              <controlPr defaultSize="0" autoFill="0" autoLine="0" autoPict="0" macro="[1]!Sheet1.deleteProcedure">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545" r:id="rId524" name="Button 521">
              <controlPr defaultSize="0" autoFill="0" autoLine="0" autoPict="0" macro="[1]!Sheet1.InsertNewTableRow">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546" r:id="rId525" name="Button 522">
              <controlPr defaultSize="0" autoFill="0" autoLine="0" autoPict="0" macro="[1]!Sheet1.deleteRow">
                <anchor moveWithCells="1" sizeWithCells="1">
                  <from>
                    <xdr:col>6</xdr:col>
                    <xdr:colOff>0</xdr:colOff>
                    <xdr:row>973</xdr:row>
                    <xdr:rowOff>0</xdr:rowOff>
                  </from>
                  <to>
                    <xdr:col>7</xdr:col>
                    <xdr:colOff>0</xdr:colOff>
                    <xdr:row>973</xdr:row>
                    <xdr:rowOff>133350</xdr:rowOff>
                  </to>
                </anchor>
              </controlPr>
            </control>
          </mc:Choice>
        </mc:AlternateContent>
        <mc:AlternateContent xmlns:mc="http://schemas.openxmlformats.org/markup-compatibility/2006">
          <mc:Choice Requires="x14">
            <control shapeId="1547" r:id="rId526" name="Button 523">
              <controlPr defaultSize="0" autoFill="0" autoLine="0" autoPict="0" macro="[1]!Sheet1.deleteRow">
                <anchor moveWithCells="1" sizeWithCells="1">
                  <from>
                    <xdr:col>6</xdr:col>
                    <xdr:colOff>0</xdr:colOff>
                    <xdr:row>974</xdr:row>
                    <xdr:rowOff>0</xdr:rowOff>
                  </from>
                  <to>
                    <xdr:col>7</xdr:col>
                    <xdr:colOff>0</xdr:colOff>
                    <xdr:row>974</xdr:row>
                    <xdr:rowOff>133350</xdr:rowOff>
                  </to>
                </anchor>
              </controlPr>
            </control>
          </mc:Choice>
        </mc:AlternateContent>
        <mc:AlternateContent xmlns:mc="http://schemas.openxmlformats.org/markup-compatibility/2006">
          <mc:Choice Requires="x14">
            <control shapeId="1548" r:id="rId527" name="Button 524">
              <controlPr defaultSize="0" autoFill="0" autoLine="0" autoPict="0" macro="[1]!Sheet1.deleteRow">
                <anchor moveWithCells="1" sizeWithCells="1">
                  <from>
                    <xdr:col>6</xdr:col>
                    <xdr:colOff>0</xdr:colOff>
                    <xdr:row>975</xdr:row>
                    <xdr:rowOff>0</xdr:rowOff>
                  </from>
                  <to>
                    <xdr:col>7</xdr:col>
                    <xdr:colOff>0</xdr:colOff>
                    <xdr:row>975</xdr:row>
                    <xdr:rowOff>133350</xdr:rowOff>
                  </to>
                </anchor>
              </controlPr>
            </control>
          </mc:Choice>
        </mc:AlternateContent>
        <mc:AlternateContent xmlns:mc="http://schemas.openxmlformats.org/markup-compatibility/2006">
          <mc:Choice Requires="x14">
            <control shapeId="1549" r:id="rId528" name="Button 525">
              <controlPr defaultSize="0" autoFill="0" autoLine="0" autoPict="0" macro="[1]!Sheet1.deleteRow">
                <anchor moveWithCells="1" sizeWithCells="1">
                  <from>
                    <xdr:col>6</xdr:col>
                    <xdr:colOff>0</xdr:colOff>
                    <xdr:row>976</xdr:row>
                    <xdr:rowOff>0</xdr:rowOff>
                  </from>
                  <to>
                    <xdr:col>7</xdr:col>
                    <xdr:colOff>0</xdr:colOff>
                    <xdr:row>976</xdr:row>
                    <xdr:rowOff>133350</xdr:rowOff>
                  </to>
                </anchor>
              </controlPr>
            </control>
          </mc:Choice>
        </mc:AlternateContent>
        <mc:AlternateContent xmlns:mc="http://schemas.openxmlformats.org/markup-compatibility/2006">
          <mc:Choice Requires="x14">
            <control shapeId="1550" r:id="rId529" name="Button 526">
              <controlPr defaultSize="0" autoFill="0" autoLine="0" autoPict="0" macro="[1]!Sheet1.deleteRow">
                <anchor moveWithCells="1" sizeWithCells="1">
                  <from>
                    <xdr:col>6</xdr:col>
                    <xdr:colOff>0</xdr:colOff>
                    <xdr:row>977</xdr:row>
                    <xdr:rowOff>0</xdr:rowOff>
                  </from>
                  <to>
                    <xdr:col>7</xdr:col>
                    <xdr:colOff>0</xdr:colOff>
                    <xdr:row>977</xdr:row>
                    <xdr:rowOff>133350</xdr:rowOff>
                  </to>
                </anchor>
              </controlPr>
            </control>
          </mc:Choice>
        </mc:AlternateContent>
        <mc:AlternateContent xmlns:mc="http://schemas.openxmlformats.org/markup-compatibility/2006">
          <mc:Choice Requires="x14">
            <control shapeId="1551" r:id="rId530" name="Button 527">
              <controlPr defaultSize="0" autoFill="0" autoLine="0" autoPict="0" macro="[1]!Sheet1.deleteRow">
                <anchor moveWithCells="1" sizeWithCells="1">
                  <from>
                    <xdr:col>6</xdr:col>
                    <xdr:colOff>0</xdr:colOff>
                    <xdr:row>978</xdr:row>
                    <xdr:rowOff>0</xdr:rowOff>
                  </from>
                  <to>
                    <xdr:col>7</xdr:col>
                    <xdr:colOff>0</xdr:colOff>
                    <xdr:row>978</xdr:row>
                    <xdr:rowOff>133350</xdr:rowOff>
                  </to>
                </anchor>
              </controlPr>
            </control>
          </mc:Choice>
        </mc:AlternateContent>
        <mc:AlternateContent xmlns:mc="http://schemas.openxmlformats.org/markup-compatibility/2006">
          <mc:Choice Requires="x14">
            <control shapeId="1552" r:id="rId531" name="Button 528">
              <controlPr defaultSize="0" autoFill="0" autoLine="0" autoPict="0" macro="[1]!Sheet1.deleteRow">
                <anchor moveWithCells="1" sizeWithCells="1">
                  <from>
                    <xdr:col>6</xdr:col>
                    <xdr:colOff>0</xdr:colOff>
                    <xdr:row>979</xdr:row>
                    <xdr:rowOff>0</xdr:rowOff>
                  </from>
                  <to>
                    <xdr:col>7</xdr:col>
                    <xdr:colOff>0</xdr:colOff>
                    <xdr:row>979</xdr:row>
                    <xdr:rowOff>133350</xdr:rowOff>
                  </to>
                </anchor>
              </controlPr>
            </control>
          </mc:Choice>
        </mc:AlternateContent>
        <mc:AlternateContent xmlns:mc="http://schemas.openxmlformats.org/markup-compatibility/2006">
          <mc:Choice Requires="x14">
            <control shapeId="1553" r:id="rId532" name="Button 529">
              <controlPr defaultSize="0" autoFill="0" autoLine="0" autoPict="0" macro="[1]!Sheet1.deleteRow">
                <anchor moveWithCells="1" sizeWithCells="1">
                  <from>
                    <xdr:col>6</xdr:col>
                    <xdr:colOff>0</xdr:colOff>
                    <xdr:row>980</xdr:row>
                    <xdr:rowOff>0</xdr:rowOff>
                  </from>
                  <to>
                    <xdr:col>7</xdr:col>
                    <xdr:colOff>0</xdr:colOff>
                    <xdr:row>980</xdr:row>
                    <xdr:rowOff>133350</xdr:rowOff>
                  </to>
                </anchor>
              </controlPr>
            </control>
          </mc:Choice>
        </mc:AlternateContent>
        <mc:AlternateContent xmlns:mc="http://schemas.openxmlformats.org/markup-compatibility/2006">
          <mc:Choice Requires="x14">
            <control shapeId="1554" r:id="rId533" name="Button 530">
              <controlPr defaultSize="0" autoFill="0" autoLine="0" autoPict="0" macro="[1]!Sheet1.deleteRow">
                <anchor moveWithCells="1" sizeWithCells="1">
                  <from>
                    <xdr:col>6</xdr:col>
                    <xdr:colOff>0</xdr:colOff>
                    <xdr:row>981</xdr:row>
                    <xdr:rowOff>0</xdr:rowOff>
                  </from>
                  <to>
                    <xdr:col>7</xdr:col>
                    <xdr:colOff>0</xdr:colOff>
                    <xdr:row>981</xdr:row>
                    <xdr:rowOff>133350</xdr:rowOff>
                  </to>
                </anchor>
              </controlPr>
            </control>
          </mc:Choice>
        </mc:AlternateContent>
        <mc:AlternateContent xmlns:mc="http://schemas.openxmlformats.org/markup-compatibility/2006">
          <mc:Choice Requires="x14">
            <control shapeId="1555" r:id="rId534" name="Button 531">
              <controlPr defaultSize="0" autoFill="0" autoLine="0" autoPict="0" macro="[1]!Sheet1.deleteRow">
                <anchor moveWithCells="1" sizeWithCells="1">
                  <from>
                    <xdr:col>6</xdr:col>
                    <xdr:colOff>0</xdr:colOff>
                    <xdr:row>982</xdr:row>
                    <xdr:rowOff>0</xdr:rowOff>
                  </from>
                  <to>
                    <xdr:col>7</xdr:col>
                    <xdr:colOff>0</xdr:colOff>
                    <xdr:row>982</xdr:row>
                    <xdr:rowOff>133350</xdr:rowOff>
                  </to>
                </anchor>
              </controlPr>
            </control>
          </mc:Choice>
        </mc:AlternateContent>
        <mc:AlternateContent xmlns:mc="http://schemas.openxmlformats.org/markup-compatibility/2006">
          <mc:Choice Requires="x14">
            <control shapeId="1556" r:id="rId535" name="Button 532">
              <controlPr defaultSize="0" autoFill="0" autoLine="0" autoPict="0" macro="[1]!Sheet1.deleteRow">
                <anchor moveWithCells="1" sizeWithCells="1">
                  <from>
                    <xdr:col>6</xdr:col>
                    <xdr:colOff>0</xdr:colOff>
                    <xdr:row>983</xdr:row>
                    <xdr:rowOff>0</xdr:rowOff>
                  </from>
                  <to>
                    <xdr:col>7</xdr:col>
                    <xdr:colOff>0</xdr:colOff>
                    <xdr:row>983</xdr:row>
                    <xdr:rowOff>133350</xdr:rowOff>
                  </to>
                </anchor>
              </controlPr>
            </control>
          </mc:Choice>
        </mc:AlternateContent>
        <mc:AlternateContent xmlns:mc="http://schemas.openxmlformats.org/markup-compatibility/2006">
          <mc:Choice Requires="x14">
            <control shapeId="1557" r:id="rId536" name="Button 533">
              <controlPr defaultSize="0" autoFill="0" autoLine="0" autoPict="0" macro="[1]!Sheet1.deleteRow">
                <anchor moveWithCells="1" sizeWithCells="1">
                  <from>
                    <xdr:col>6</xdr:col>
                    <xdr:colOff>0</xdr:colOff>
                    <xdr:row>984</xdr:row>
                    <xdr:rowOff>0</xdr:rowOff>
                  </from>
                  <to>
                    <xdr:col>7</xdr:col>
                    <xdr:colOff>0</xdr:colOff>
                    <xdr:row>984</xdr:row>
                    <xdr:rowOff>133350</xdr:rowOff>
                  </to>
                </anchor>
              </controlPr>
            </control>
          </mc:Choice>
        </mc:AlternateContent>
        <mc:AlternateContent xmlns:mc="http://schemas.openxmlformats.org/markup-compatibility/2006">
          <mc:Choice Requires="x14">
            <control shapeId="1558" r:id="rId537" name="Button 534">
              <controlPr defaultSize="0" autoFill="0" autoLine="0" autoPict="0" macro="[1]!Sheet1.deleteRow">
                <anchor moveWithCells="1" sizeWithCells="1">
                  <from>
                    <xdr:col>6</xdr:col>
                    <xdr:colOff>0</xdr:colOff>
                    <xdr:row>985</xdr:row>
                    <xdr:rowOff>0</xdr:rowOff>
                  </from>
                  <to>
                    <xdr:col>7</xdr:col>
                    <xdr:colOff>0</xdr:colOff>
                    <xdr:row>985</xdr:row>
                    <xdr:rowOff>133350</xdr:rowOff>
                  </to>
                </anchor>
              </controlPr>
            </control>
          </mc:Choice>
        </mc:AlternateContent>
        <mc:AlternateContent xmlns:mc="http://schemas.openxmlformats.org/markup-compatibility/2006">
          <mc:Choice Requires="x14">
            <control shapeId="1559" r:id="rId538" name="Button 535">
              <controlPr defaultSize="0" autoFill="0" autoLine="0" autoPict="0" macro="[1]!Sheet1.deleteRow">
                <anchor moveWithCells="1" sizeWithCells="1">
                  <from>
                    <xdr:col>6</xdr:col>
                    <xdr:colOff>0</xdr:colOff>
                    <xdr:row>986</xdr:row>
                    <xdr:rowOff>0</xdr:rowOff>
                  </from>
                  <to>
                    <xdr:col>7</xdr:col>
                    <xdr:colOff>0</xdr:colOff>
                    <xdr:row>986</xdr:row>
                    <xdr:rowOff>133350</xdr:rowOff>
                  </to>
                </anchor>
              </controlPr>
            </control>
          </mc:Choice>
        </mc:AlternateContent>
        <mc:AlternateContent xmlns:mc="http://schemas.openxmlformats.org/markup-compatibility/2006">
          <mc:Choice Requires="x14">
            <control shapeId="1560" r:id="rId539" name="Button 536">
              <controlPr defaultSize="0" autoFill="0" autoLine="0" autoPict="0" macro="[1]!Sheet1.deleteRow">
                <anchor moveWithCells="1" sizeWithCells="1">
                  <from>
                    <xdr:col>6</xdr:col>
                    <xdr:colOff>0</xdr:colOff>
                    <xdr:row>987</xdr:row>
                    <xdr:rowOff>0</xdr:rowOff>
                  </from>
                  <to>
                    <xdr:col>7</xdr:col>
                    <xdr:colOff>0</xdr:colOff>
                    <xdr:row>987</xdr:row>
                    <xdr:rowOff>133350</xdr:rowOff>
                  </to>
                </anchor>
              </controlPr>
            </control>
          </mc:Choice>
        </mc:AlternateContent>
        <mc:AlternateContent xmlns:mc="http://schemas.openxmlformats.org/markup-compatibility/2006">
          <mc:Choice Requires="x14">
            <control shapeId="1561" r:id="rId540" name="Button 537">
              <controlPr defaultSize="0" autoFill="0" autoLine="0" autoPict="0" macro="[1]!Sheet1.deleteRow">
                <anchor moveWithCells="1" sizeWithCells="1">
                  <from>
                    <xdr:col>6</xdr:col>
                    <xdr:colOff>0</xdr:colOff>
                    <xdr:row>988</xdr:row>
                    <xdr:rowOff>0</xdr:rowOff>
                  </from>
                  <to>
                    <xdr:col>7</xdr:col>
                    <xdr:colOff>0</xdr:colOff>
                    <xdr:row>988</xdr:row>
                    <xdr:rowOff>133350</xdr:rowOff>
                  </to>
                </anchor>
              </controlPr>
            </control>
          </mc:Choice>
        </mc:AlternateContent>
        <mc:AlternateContent xmlns:mc="http://schemas.openxmlformats.org/markup-compatibility/2006">
          <mc:Choice Requires="x14">
            <control shapeId="1562" r:id="rId541" name="Button 538">
              <controlPr defaultSize="0" autoFill="0" autoLine="0" autoPict="0" macro="[1]!Sheet1.deleteRow">
                <anchor moveWithCells="1" sizeWithCells="1">
                  <from>
                    <xdr:col>6</xdr:col>
                    <xdr:colOff>0</xdr:colOff>
                    <xdr:row>989</xdr:row>
                    <xdr:rowOff>0</xdr:rowOff>
                  </from>
                  <to>
                    <xdr:col>7</xdr:col>
                    <xdr:colOff>0</xdr:colOff>
                    <xdr:row>989</xdr:row>
                    <xdr:rowOff>133350</xdr:rowOff>
                  </to>
                </anchor>
              </controlPr>
            </control>
          </mc:Choice>
        </mc:AlternateContent>
        <mc:AlternateContent xmlns:mc="http://schemas.openxmlformats.org/markup-compatibility/2006">
          <mc:Choice Requires="x14">
            <control shapeId="1563" r:id="rId542" name="Button 539">
              <controlPr defaultSize="0" autoFill="0" autoLine="0" autoPict="0" macro="[1]!Sheet1.deleteRow">
                <anchor moveWithCells="1" sizeWithCells="1">
                  <from>
                    <xdr:col>6</xdr:col>
                    <xdr:colOff>0</xdr:colOff>
                    <xdr:row>990</xdr:row>
                    <xdr:rowOff>0</xdr:rowOff>
                  </from>
                  <to>
                    <xdr:col>7</xdr:col>
                    <xdr:colOff>0</xdr:colOff>
                    <xdr:row>990</xdr:row>
                    <xdr:rowOff>133350</xdr:rowOff>
                  </to>
                </anchor>
              </controlPr>
            </control>
          </mc:Choice>
        </mc:AlternateContent>
        <mc:AlternateContent xmlns:mc="http://schemas.openxmlformats.org/markup-compatibility/2006">
          <mc:Choice Requires="x14">
            <control shapeId="1564" r:id="rId543" name="Button 540">
              <controlPr defaultSize="0" autoFill="0" autoLine="0" autoPict="0" macro="[1]!Sheet1.deleteRow">
                <anchor moveWithCells="1" sizeWithCells="1">
                  <from>
                    <xdr:col>6</xdr:col>
                    <xdr:colOff>0</xdr:colOff>
                    <xdr:row>991</xdr:row>
                    <xdr:rowOff>0</xdr:rowOff>
                  </from>
                  <to>
                    <xdr:col>7</xdr:col>
                    <xdr:colOff>0</xdr:colOff>
                    <xdr:row>991</xdr:row>
                    <xdr:rowOff>133350</xdr:rowOff>
                  </to>
                </anchor>
              </controlPr>
            </control>
          </mc:Choice>
        </mc:AlternateContent>
        <mc:AlternateContent xmlns:mc="http://schemas.openxmlformats.org/markup-compatibility/2006">
          <mc:Choice Requires="x14">
            <control shapeId="1565" r:id="rId544" name="Button 541">
              <controlPr defaultSize="0" autoFill="0" autoLine="0" autoPict="0" macro="[1]!Sheet1.deleteRow">
                <anchor moveWithCells="1" sizeWithCells="1">
                  <from>
                    <xdr:col>6</xdr:col>
                    <xdr:colOff>0</xdr:colOff>
                    <xdr:row>992</xdr:row>
                    <xdr:rowOff>0</xdr:rowOff>
                  </from>
                  <to>
                    <xdr:col>7</xdr:col>
                    <xdr:colOff>0</xdr:colOff>
                    <xdr:row>992</xdr:row>
                    <xdr:rowOff>133350</xdr:rowOff>
                  </to>
                </anchor>
              </controlPr>
            </control>
          </mc:Choice>
        </mc:AlternateContent>
        <mc:AlternateContent xmlns:mc="http://schemas.openxmlformats.org/markup-compatibility/2006">
          <mc:Choice Requires="x14">
            <control shapeId="1566" r:id="rId545" name="Button 542">
              <controlPr defaultSize="0" autoFill="0" autoLine="0" autoPict="0" macro="[1]!Sheet1.deleteRow">
                <anchor moveWithCells="1" sizeWithCells="1">
                  <from>
                    <xdr:col>6</xdr:col>
                    <xdr:colOff>0</xdr:colOff>
                    <xdr:row>993</xdr:row>
                    <xdr:rowOff>0</xdr:rowOff>
                  </from>
                  <to>
                    <xdr:col>7</xdr:col>
                    <xdr:colOff>0</xdr:colOff>
                    <xdr:row>993</xdr:row>
                    <xdr:rowOff>133350</xdr:rowOff>
                  </to>
                </anchor>
              </controlPr>
            </control>
          </mc:Choice>
        </mc:AlternateContent>
        <mc:AlternateContent xmlns:mc="http://schemas.openxmlformats.org/markup-compatibility/2006">
          <mc:Choice Requires="x14">
            <control shapeId="1567" r:id="rId546" name="Button 543">
              <controlPr defaultSize="0" autoFill="0" autoLine="0" autoPict="0" macro="[1]!Sheet1.deleteRow">
                <anchor moveWithCells="1" sizeWithCells="1">
                  <from>
                    <xdr:col>6</xdr:col>
                    <xdr:colOff>0</xdr:colOff>
                    <xdr:row>994</xdr:row>
                    <xdr:rowOff>0</xdr:rowOff>
                  </from>
                  <to>
                    <xdr:col>7</xdr:col>
                    <xdr:colOff>0</xdr:colOff>
                    <xdr:row>994</xdr:row>
                    <xdr:rowOff>133350</xdr:rowOff>
                  </to>
                </anchor>
              </controlPr>
            </control>
          </mc:Choice>
        </mc:AlternateContent>
        <mc:AlternateContent xmlns:mc="http://schemas.openxmlformats.org/markup-compatibility/2006">
          <mc:Choice Requires="x14">
            <control shapeId="1568" r:id="rId547" name="Button 544">
              <controlPr defaultSize="0" autoFill="0" autoLine="0" autoPict="0" macro="[1]!Sheet1.deleteRow">
                <anchor moveWithCells="1" sizeWithCells="1">
                  <from>
                    <xdr:col>6</xdr:col>
                    <xdr:colOff>0</xdr:colOff>
                    <xdr:row>995</xdr:row>
                    <xdr:rowOff>0</xdr:rowOff>
                  </from>
                  <to>
                    <xdr:col>7</xdr:col>
                    <xdr:colOff>0</xdr:colOff>
                    <xdr:row>995</xdr:row>
                    <xdr:rowOff>133350</xdr:rowOff>
                  </to>
                </anchor>
              </controlPr>
            </control>
          </mc:Choice>
        </mc:AlternateContent>
        <mc:AlternateContent xmlns:mc="http://schemas.openxmlformats.org/markup-compatibility/2006">
          <mc:Choice Requires="x14">
            <control shapeId="1569" r:id="rId548" name="Button 545">
              <controlPr defaultSize="0" autoFill="0" autoLine="0" autoPict="0" macro="[1]!Sheet1.deleteRow">
                <anchor moveWithCells="1" sizeWithCells="1">
                  <from>
                    <xdr:col>6</xdr:col>
                    <xdr:colOff>0</xdr:colOff>
                    <xdr:row>996</xdr:row>
                    <xdr:rowOff>0</xdr:rowOff>
                  </from>
                  <to>
                    <xdr:col>7</xdr:col>
                    <xdr:colOff>0</xdr:colOff>
                    <xdr:row>996</xdr:row>
                    <xdr:rowOff>133350</xdr:rowOff>
                  </to>
                </anchor>
              </controlPr>
            </control>
          </mc:Choice>
        </mc:AlternateContent>
        <mc:AlternateContent xmlns:mc="http://schemas.openxmlformats.org/markup-compatibility/2006">
          <mc:Choice Requires="x14">
            <control shapeId="1570" r:id="rId549" name="Button 546">
              <controlPr defaultSize="0" autoFill="0" autoLine="0" autoPict="0" macro="[1]!Sheet1.deleteRow">
                <anchor moveWithCells="1" sizeWithCells="1">
                  <from>
                    <xdr:col>6</xdr:col>
                    <xdr:colOff>0</xdr:colOff>
                    <xdr:row>997</xdr:row>
                    <xdr:rowOff>0</xdr:rowOff>
                  </from>
                  <to>
                    <xdr:col>7</xdr:col>
                    <xdr:colOff>0</xdr:colOff>
                    <xdr:row>997</xdr:row>
                    <xdr:rowOff>133350</xdr:rowOff>
                  </to>
                </anchor>
              </controlPr>
            </control>
          </mc:Choice>
        </mc:AlternateContent>
        <mc:AlternateContent xmlns:mc="http://schemas.openxmlformats.org/markup-compatibility/2006">
          <mc:Choice Requires="x14">
            <control shapeId="1571" r:id="rId550" name="Button 547">
              <controlPr defaultSize="0" autoFill="0" autoLine="0" autoPict="0" macro="[1]!Sheet1.deleteRow">
                <anchor moveWithCells="1" sizeWithCells="1">
                  <from>
                    <xdr:col>6</xdr:col>
                    <xdr:colOff>0</xdr:colOff>
                    <xdr:row>998</xdr:row>
                    <xdr:rowOff>0</xdr:rowOff>
                  </from>
                  <to>
                    <xdr:col>7</xdr:col>
                    <xdr:colOff>0</xdr:colOff>
                    <xdr:row>998</xdr:row>
                    <xdr:rowOff>133350</xdr:rowOff>
                  </to>
                </anchor>
              </controlPr>
            </control>
          </mc:Choice>
        </mc:AlternateContent>
        <mc:AlternateContent xmlns:mc="http://schemas.openxmlformats.org/markup-compatibility/2006">
          <mc:Choice Requires="x14">
            <control shapeId="1572" r:id="rId551" name="Button 548">
              <controlPr defaultSize="0" autoFill="0" autoLine="0" autoPict="0" macro="[1]!Sheet1.deleteRow">
                <anchor moveWithCells="1" sizeWithCells="1">
                  <from>
                    <xdr:col>6</xdr:col>
                    <xdr:colOff>0</xdr:colOff>
                    <xdr:row>999</xdr:row>
                    <xdr:rowOff>0</xdr:rowOff>
                  </from>
                  <to>
                    <xdr:col>7</xdr:col>
                    <xdr:colOff>0</xdr:colOff>
                    <xdr:row>999</xdr:row>
                    <xdr:rowOff>133350</xdr:rowOff>
                  </to>
                </anchor>
              </controlPr>
            </control>
          </mc:Choice>
        </mc:AlternateContent>
        <mc:AlternateContent xmlns:mc="http://schemas.openxmlformats.org/markup-compatibility/2006">
          <mc:Choice Requires="x14">
            <control shapeId="1573" r:id="rId552" name="Button 549">
              <controlPr defaultSize="0" autoFill="0" autoLine="0" autoPict="0" macro="[1]!Sheet1.deleteRow">
                <anchor moveWithCells="1" sizeWithCells="1">
                  <from>
                    <xdr:col>6</xdr:col>
                    <xdr:colOff>0</xdr:colOff>
                    <xdr:row>1000</xdr:row>
                    <xdr:rowOff>0</xdr:rowOff>
                  </from>
                  <to>
                    <xdr:col>7</xdr:col>
                    <xdr:colOff>0</xdr:colOff>
                    <xdr:row>1000</xdr:row>
                    <xdr:rowOff>133350</xdr:rowOff>
                  </to>
                </anchor>
              </controlPr>
            </control>
          </mc:Choice>
        </mc:AlternateContent>
        <mc:AlternateContent xmlns:mc="http://schemas.openxmlformats.org/markup-compatibility/2006">
          <mc:Choice Requires="x14">
            <control shapeId="1574" r:id="rId553" name="Button 550">
              <controlPr defaultSize="0" autoFill="0" autoLine="0" autoPict="0" macro="[1]!Sheet1.deleteRow">
                <anchor moveWithCells="1" sizeWithCells="1">
                  <from>
                    <xdr:col>6</xdr:col>
                    <xdr:colOff>0</xdr:colOff>
                    <xdr:row>1001</xdr:row>
                    <xdr:rowOff>0</xdr:rowOff>
                  </from>
                  <to>
                    <xdr:col>7</xdr:col>
                    <xdr:colOff>0</xdr:colOff>
                    <xdr:row>1001</xdr:row>
                    <xdr:rowOff>133350</xdr:rowOff>
                  </to>
                </anchor>
              </controlPr>
            </control>
          </mc:Choice>
        </mc:AlternateContent>
        <mc:AlternateContent xmlns:mc="http://schemas.openxmlformats.org/markup-compatibility/2006">
          <mc:Choice Requires="x14">
            <control shapeId="1575" r:id="rId554" name="Button 551">
              <controlPr defaultSize="0" autoFill="0" autoLine="0" autoPict="0" macro="[1]!Sheet1.deleteRow">
                <anchor moveWithCells="1" sizeWithCells="1">
                  <from>
                    <xdr:col>6</xdr:col>
                    <xdr:colOff>0</xdr:colOff>
                    <xdr:row>1002</xdr:row>
                    <xdr:rowOff>0</xdr:rowOff>
                  </from>
                  <to>
                    <xdr:col>7</xdr:col>
                    <xdr:colOff>0</xdr:colOff>
                    <xdr:row>1002</xdr:row>
                    <xdr:rowOff>133350</xdr:rowOff>
                  </to>
                </anchor>
              </controlPr>
            </control>
          </mc:Choice>
        </mc:AlternateContent>
        <mc:AlternateContent xmlns:mc="http://schemas.openxmlformats.org/markup-compatibility/2006">
          <mc:Choice Requires="x14">
            <control shapeId="1576" r:id="rId555" name="Button 552">
              <controlPr defaultSize="0" autoFill="0" autoLine="0" autoPict="0" macro="[1]!Sheet1.deleteRow">
                <anchor moveWithCells="1" sizeWithCells="1">
                  <from>
                    <xdr:col>6</xdr:col>
                    <xdr:colOff>0</xdr:colOff>
                    <xdr:row>1003</xdr:row>
                    <xdr:rowOff>0</xdr:rowOff>
                  </from>
                  <to>
                    <xdr:col>7</xdr:col>
                    <xdr:colOff>0</xdr:colOff>
                    <xdr:row>1003</xdr:row>
                    <xdr:rowOff>133350</xdr:rowOff>
                  </to>
                </anchor>
              </controlPr>
            </control>
          </mc:Choice>
        </mc:AlternateContent>
        <mc:AlternateContent xmlns:mc="http://schemas.openxmlformats.org/markup-compatibility/2006">
          <mc:Choice Requires="x14">
            <control shapeId="1577" r:id="rId556" name="Button 553">
              <controlPr defaultSize="0" autoFill="0" autoLine="0" autoPict="0" macro="[1]!Sheet1.deleteRow">
                <anchor moveWithCells="1" sizeWithCells="1">
                  <from>
                    <xdr:col>6</xdr:col>
                    <xdr:colOff>0</xdr:colOff>
                    <xdr:row>1004</xdr:row>
                    <xdr:rowOff>0</xdr:rowOff>
                  </from>
                  <to>
                    <xdr:col>7</xdr:col>
                    <xdr:colOff>0</xdr:colOff>
                    <xdr:row>1004</xdr:row>
                    <xdr:rowOff>133350</xdr:rowOff>
                  </to>
                </anchor>
              </controlPr>
            </control>
          </mc:Choice>
        </mc:AlternateContent>
        <mc:AlternateContent xmlns:mc="http://schemas.openxmlformats.org/markup-compatibility/2006">
          <mc:Choice Requires="x14">
            <control shapeId="1578" r:id="rId557" name="Button 554">
              <controlPr defaultSize="0" autoFill="0" autoLine="0" autoPict="0" macro="[1]!Sheet1.deleteRow">
                <anchor moveWithCells="1" sizeWithCells="1">
                  <from>
                    <xdr:col>6</xdr:col>
                    <xdr:colOff>0</xdr:colOff>
                    <xdr:row>1005</xdr:row>
                    <xdr:rowOff>0</xdr:rowOff>
                  </from>
                  <to>
                    <xdr:col>7</xdr:col>
                    <xdr:colOff>0</xdr:colOff>
                    <xdr:row>1005</xdr:row>
                    <xdr:rowOff>133350</xdr:rowOff>
                  </to>
                </anchor>
              </controlPr>
            </control>
          </mc:Choice>
        </mc:AlternateContent>
        <mc:AlternateContent xmlns:mc="http://schemas.openxmlformats.org/markup-compatibility/2006">
          <mc:Choice Requires="x14">
            <control shapeId="1579" r:id="rId558" name="Button 555">
              <controlPr defaultSize="0" autoFill="0" autoLine="0" autoPict="0" macro="[1]!Sheet1.deleteRow">
                <anchor moveWithCells="1" sizeWithCells="1">
                  <from>
                    <xdr:col>6</xdr:col>
                    <xdr:colOff>0</xdr:colOff>
                    <xdr:row>1006</xdr:row>
                    <xdr:rowOff>0</xdr:rowOff>
                  </from>
                  <to>
                    <xdr:col>7</xdr:col>
                    <xdr:colOff>0</xdr:colOff>
                    <xdr:row>1006</xdr:row>
                    <xdr:rowOff>133350</xdr:rowOff>
                  </to>
                </anchor>
              </controlPr>
            </control>
          </mc:Choice>
        </mc:AlternateContent>
        <mc:AlternateContent xmlns:mc="http://schemas.openxmlformats.org/markup-compatibility/2006">
          <mc:Choice Requires="x14">
            <control shapeId="1580" r:id="rId559" name="Button 556">
              <controlPr defaultSize="0" autoFill="0" autoLine="0" autoPict="0" macro="[1]!Sheet1.deleteRow">
                <anchor moveWithCells="1" sizeWithCells="1">
                  <from>
                    <xdr:col>6</xdr:col>
                    <xdr:colOff>0</xdr:colOff>
                    <xdr:row>1007</xdr:row>
                    <xdr:rowOff>0</xdr:rowOff>
                  </from>
                  <to>
                    <xdr:col>7</xdr:col>
                    <xdr:colOff>0</xdr:colOff>
                    <xdr:row>1007</xdr:row>
                    <xdr:rowOff>133350</xdr:rowOff>
                  </to>
                </anchor>
              </controlPr>
            </control>
          </mc:Choice>
        </mc:AlternateContent>
        <mc:AlternateContent xmlns:mc="http://schemas.openxmlformats.org/markup-compatibility/2006">
          <mc:Choice Requires="x14">
            <control shapeId="1581" r:id="rId560" name="Button 557">
              <controlPr defaultSize="0" autoFill="0" autoLine="0" autoPict="0" macro="[1]!Sheet1.deleteRow">
                <anchor moveWithCells="1" sizeWithCells="1">
                  <from>
                    <xdr:col>6</xdr:col>
                    <xdr:colOff>0</xdr:colOff>
                    <xdr:row>1008</xdr:row>
                    <xdr:rowOff>0</xdr:rowOff>
                  </from>
                  <to>
                    <xdr:col>7</xdr:col>
                    <xdr:colOff>0</xdr:colOff>
                    <xdr:row>1008</xdr:row>
                    <xdr:rowOff>133350</xdr:rowOff>
                  </to>
                </anchor>
              </controlPr>
            </control>
          </mc:Choice>
        </mc:AlternateContent>
        <mc:AlternateContent xmlns:mc="http://schemas.openxmlformats.org/markup-compatibility/2006">
          <mc:Choice Requires="x14">
            <control shapeId="1582" r:id="rId561" name="Button 558">
              <controlPr defaultSize="0" autoFill="0" autoLine="0" autoPict="0" macro="[1]!Sheet1.deleteRow">
                <anchor moveWithCells="1" sizeWithCells="1">
                  <from>
                    <xdr:col>6</xdr:col>
                    <xdr:colOff>0</xdr:colOff>
                    <xdr:row>1009</xdr:row>
                    <xdr:rowOff>0</xdr:rowOff>
                  </from>
                  <to>
                    <xdr:col>7</xdr:col>
                    <xdr:colOff>0</xdr:colOff>
                    <xdr:row>1009</xdr:row>
                    <xdr:rowOff>133350</xdr:rowOff>
                  </to>
                </anchor>
              </controlPr>
            </control>
          </mc:Choice>
        </mc:AlternateContent>
        <mc:AlternateContent xmlns:mc="http://schemas.openxmlformats.org/markup-compatibility/2006">
          <mc:Choice Requires="x14">
            <control shapeId="1583" r:id="rId562" name="Button 559">
              <controlPr defaultSize="0" autoFill="0" autoLine="0" autoPict="0" macro="[1]!Sheet1.deleteRow">
                <anchor moveWithCells="1" sizeWithCells="1">
                  <from>
                    <xdr:col>6</xdr:col>
                    <xdr:colOff>0</xdr:colOff>
                    <xdr:row>1010</xdr:row>
                    <xdr:rowOff>0</xdr:rowOff>
                  </from>
                  <to>
                    <xdr:col>7</xdr:col>
                    <xdr:colOff>0</xdr:colOff>
                    <xdr:row>1010</xdr:row>
                    <xdr:rowOff>133350</xdr:rowOff>
                  </to>
                </anchor>
              </controlPr>
            </control>
          </mc:Choice>
        </mc:AlternateContent>
        <mc:AlternateContent xmlns:mc="http://schemas.openxmlformats.org/markup-compatibility/2006">
          <mc:Choice Requires="x14">
            <control shapeId="1584" r:id="rId563" name="Button 560">
              <controlPr defaultSize="0" autoFill="0" autoLine="0" autoPict="0" macro="[1]!Sheet1.deleteRow">
                <anchor moveWithCells="1" sizeWithCells="1">
                  <from>
                    <xdr:col>6</xdr:col>
                    <xdr:colOff>0</xdr:colOff>
                    <xdr:row>1011</xdr:row>
                    <xdr:rowOff>0</xdr:rowOff>
                  </from>
                  <to>
                    <xdr:col>7</xdr:col>
                    <xdr:colOff>0</xdr:colOff>
                    <xdr:row>1011</xdr:row>
                    <xdr:rowOff>133350</xdr:rowOff>
                  </to>
                </anchor>
              </controlPr>
            </control>
          </mc:Choice>
        </mc:AlternateContent>
        <mc:AlternateContent xmlns:mc="http://schemas.openxmlformats.org/markup-compatibility/2006">
          <mc:Choice Requires="x14">
            <control shapeId="1585" r:id="rId564" name="Button 561">
              <controlPr defaultSize="0" autoFill="0" autoLine="0" autoPict="0" macro="[1]!Sheet1.deleteRow">
                <anchor moveWithCells="1" sizeWithCells="1">
                  <from>
                    <xdr:col>6</xdr:col>
                    <xdr:colOff>0</xdr:colOff>
                    <xdr:row>1012</xdr:row>
                    <xdr:rowOff>0</xdr:rowOff>
                  </from>
                  <to>
                    <xdr:col>7</xdr:col>
                    <xdr:colOff>0</xdr:colOff>
                    <xdr:row>1012</xdr:row>
                    <xdr:rowOff>133350</xdr:rowOff>
                  </to>
                </anchor>
              </controlPr>
            </control>
          </mc:Choice>
        </mc:AlternateContent>
        <mc:AlternateContent xmlns:mc="http://schemas.openxmlformats.org/markup-compatibility/2006">
          <mc:Choice Requires="x14">
            <control shapeId="1586" r:id="rId565" name="Button 562">
              <controlPr defaultSize="0" autoFill="0" autoLine="0" autoPict="0" macro="[1]!Sheet1.deleteRow">
                <anchor moveWithCells="1" sizeWithCells="1">
                  <from>
                    <xdr:col>6</xdr:col>
                    <xdr:colOff>0</xdr:colOff>
                    <xdr:row>1013</xdr:row>
                    <xdr:rowOff>0</xdr:rowOff>
                  </from>
                  <to>
                    <xdr:col>7</xdr:col>
                    <xdr:colOff>0</xdr:colOff>
                    <xdr:row>1013</xdr:row>
                    <xdr:rowOff>133350</xdr:rowOff>
                  </to>
                </anchor>
              </controlPr>
            </control>
          </mc:Choice>
        </mc:AlternateContent>
        <mc:AlternateContent xmlns:mc="http://schemas.openxmlformats.org/markup-compatibility/2006">
          <mc:Choice Requires="x14">
            <control shapeId="1587" r:id="rId566" name="Button 563">
              <controlPr defaultSize="0" autoFill="0" autoLine="0" autoPict="0" macro="[1]!Sheet1.deleteRow">
                <anchor moveWithCells="1" sizeWithCells="1">
                  <from>
                    <xdr:col>6</xdr:col>
                    <xdr:colOff>0</xdr:colOff>
                    <xdr:row>1014</xdr:row>
                    <xdr:rowOff>0</xdr:rowOff>
                  </from>
                  <to>
                    <xdr:col>7</xdr:col>
                    <xdr:colOff>0</xdr:colOff>
                    <xdr:row>1014</xdr:row>
                    <xdr:rowOff>133350</xdr:rowOff>
                  </to>
                </anchor>
              </controlPr>
            </control>
          </mc:Choice>
        </mc:AlternateContent>
        <mc:AlternateContent xmlns:mc="http://schemas.openxmlformats.org/markup-compatibility/2006">
          <mc:Choice Requires="x14">
            <control shapeId="1588" r:id="rId567" name="Button 564">
              <controlPr defaultSize="0" autoFill="0" autoLine="0" autoPict="0" macro="[1]!Sheet1.deleteRow">
                <anchor moveWithCells="1" sizeWithCells="1">
                  <from>
                    <xdr:col>6</xdr:col>
                    <xdr:colOff>0</xdr:colOff>
                    <xdr:row>1015</xdr:row>
                    <xdr:rowOff>0</xdr:rowOff>
                  </from>
                  <to>
                    <xdr:col>7</xdr:col>
                    <xdr:colOff>0</xdr:colOff>
                    <xdr:row>1015</xdr:row>
                    <xdr:rowOff>133350</xdr:rowOff>
                  </to>
                </anchor>
              </controlPr>
            </control>
          </mc:Choice>
        </mc:AlternateContent>
        <mc:AlternateContent xmlns:mc="http://schemas.openxmlformats.org/markup-compatibility/2006">
          <mc:Choice Requires="x14">
            <control shapeId="1589" r:id="rId568" name="Button 565">
              <controlPr defaultSize="0" autoFill="0" autoLine="0" autoPict="0" macro="[1]!Sheet1.deleteRow">
                <anchor moveWithCells="1" sizeWithCells="1">
                  <from>
                    <xdr:col>6</xdr:col>
                    <xdr:colOff>0</xdr:colOff>
                    <xdr:row>1016</xdr:row>
                    <xdr:rowOff>0</xdr:rowOff>
                  </from>
                  <to>
                    <xdr:col>7</xdr:col>
                    <xdr:colOff>0</xdr:colOff>
                    <xdr:row>1016</xdr:row>
                    <xdr:rowOff>133350</xdr:rowOff>
                  </to>
                </anchor>
              </controlPr>
            </control>
          </mc:Choice>
        </mc:AlternateContent>
        <mc:AlternateContent xmlns:mc="http://schemas.openxmlformats.org/markup-compatibility/2006">
          <mc:Choice Requires="x14">
            <control shapeId="1590" r:id="rId569" name="Button 566">
              <controlPr defaultSize="0" autoFill="0" autoLine="0" autoPict="0" macro="[1]!Sheet1.deleteRow">
                <anchor moveWithCells="1" sizeWithCells="1">
                  <from>
                    <xdr:col>6</xdr:col>
                    <xdr:colOff>0</xdr:colOff>
                    <xdr:row>1017</xdr:row>
                    <xdr:rowOff>0</xdr:rowOff>
                  </from>
                  <to>
                    <xdr:col>7</xdr:col>
                    <xdr:colOff>0</xdr:colOff>
                    <xdr:row>1017</xdr:row>
                    <xdr:rowOff>133350</xdr:rowOff>
                  </to>
                </anchor>
              </controlPr>
            </control>
          </mc:Choice>
        </mc:AlternateContent>
        <mc:AlternateContent xmlns:mc="http://schemas.openxmlformats.org/markup-compatibility/2006">
          <mc:Choice Requires="x14">
            <control shapeId="1591" r:id="rId570" name="Button 567">
              <controlPr defaultSize="0" autoFill="0" autoLine="0" autoPict="0" macro="[1]!Sheet1.deleteRow">
                <anchor moveWithCells="1" sizeWithCells="1">
                  <from>
                    <xdr:col>6</xdr:col>
                    <xdr:colOff>0</xdr:colOff>
                    <xdr:row>1018</xdr:row>
                    <xdr:rowOff>0</xdr:rowOff>
                  </from>
                  <to>
                    <xdr:col>7</xdr:col>
                    <xdr:colOff>0</xdr:colOff>
                    <xdr:row>1018</xdr:row>
                    <xdr:rowOff>133350</xdr:rowOff>
                  </to>
                </anchor>
              </controlPr>
            </control>
          </mc:Choice>
        </mc:AlternateContent>
        <mc:AlternateContent xmlns:mc="http://schemas.openxmlformats.org/markup-compatibility/2006">
          <mc:Choice Requires="x14">
            <control shapeId="1592" r:id="rId571" name="Button 568">
              <controlPr defaultSize="0" autoFill="0" autoLine="0" autoPict="0" macro="[1]!Sheet1.deleteRow">
                <anchor moveWithCells="1" sizeWithCells="1">
                  <from>
                    <xdr:col>6</xdr:col>
                    <xdr:colOff>0</xdr:colOff>
                    <xdr:row>1019</xdr:row>
                    <xdr:rowOff>0</xdr:rowOff>
                  </from>
                  <to>
                    <xdr:col>7</xdr:col>
                    <xdr:colOff>0</xdr:colOff>
                    <xdr:row>1019</xdr:row>
                    <xdr:rowOff>133350</xdr:rowOff>
                  </to>
                </anchor>
              </controlPr>
            </control>
          </mc:Choice>
        </mc:AlternateContent>
        <mc:AlternateContent xmlns:mc="http://schemas.openxmlformats.org/markup-compatibility/2006">
          <mc:Choice Requires="x14">
            <control shapeId="1593" r:id="rId572" name="Button 569">
              <controlPr defaultSize="0" autoFill="0" autoLine="0" autoPict="0" macro="[1]!Sheet1.deleteRow">
                <anchor moveWithCells="1" sizeWithCells="1">
                  <from>
                    <xdr:col>6</xdr:col>
                    <xdr:colOff>0</xdr:colOff>
                    <xdr:row>1020</xdr:row>
                    <xdr:rowOff>0</xdr:rowOff>
                  </from>
                  <to>
                    <xdr:col>7</xdr:col>
                    <xdr:colOff>0</xdr:colOff>
                    <xdr:row>1020</xdr:row>
                    <xdr:rowOff>133350</xdr:rowOff>
                  </to>
                </anchor>
              </controlPr>
            </control>
          </mc:Choice>
        </mc:AlternateContent>
        <mc:AlternateContent xmlns:mc="http://schemas.openxmlformats.org/markup-compatibility/2006">
          <mc:Choice Requires="x14">
            <control shapeId="1594" r:id="rId573" name="Button 570">
              <controlPr defaultSize="0" autoFill="0" autoLine="0" autoPict="0" macro="[1]!Sheet1.deleteRow">
                <anchor moveWithCells="1" sizeWithCells="1">
                  <from>
                    <xdr:col>6</xdr:col>
                    <xdr:colOff>0</xdr:colOff>
                    <xdr:row>1021</xdr:row>
                    <xdr:rowOff>0</xdr:rowOff>
                  </from>
                  <to>
                    <xdr:col>7</xdr:col>
                    <xdr:colOff>0</xdr:colOff>
                    <xdr:row>1021</xdr:row>
                    <xdr:rowOff>133350</xdr:rowOff>
                  </to>
                </anchor>
              </controlPr>
            </control>
          </mc:Choice>
        </mc:AlternateContent>
        <mc:AlternateContent xmlns:mc="http://schemas.openxmlformats.org/markup-compatibility/2006">
          <mc:Choice Requires="x14">
            <control shapeId="1595" r:id="rId574" name="Button 571">
              <controlPr defaultSize="0" autoFill="0" autoLine="0" autoPict="0" macro="[1]!Sheet1.deleteRow">
                <anchor moveWithCells="1" sizeWithCells="1">
                  <from>
                    <xdr:col>6</xdr:col>
                    <xdr:colOff>0</xdr:colOff>
                    <xdr:row>1022</xdr:row>
                    <xdr:rowOff>0</xdr:rowOff>
                  </from>
                  <to>
                    <xdr:col>7</xdr:col>
                    <xdr:colOff>0</xdr:colOff>
                    <xdr:row>1022</xdr:row>
                    <xdr:rowOff>133350</xdr:rowOff>
                  </to>
                </anchor>
              </controlPr>
            </control>
          </mc:Choice>
        </mc:AlternateContent>
        <mc:AlternateContent xmlns:mc="http://schemas.openxmlformats.org/markup-compatibility/2006">
          <mc:Choice Requires="x14">
            <control shapeId="1596" r:id="rId575" name="Button 572">
              <controlPr defaultSize="0" autoFill="0" autoLine="0" autoPict="0" macro="[1]!Sheet1.deleteRow">
                <anchor moveWithCells="1" sizeWithCells="1">
                  <from>
                    <xdr:col>6</xdr:col>
                    <xdr:colOff>0</xdr:colOff>
                    <xdr:row>1023</xdr:row>
                    <xdr:rowOff>0</xdr:rowOff>
                  </from>
                  <to>
                    <xdr:col>7</xdr:col>
                    <xdr:colOff>0</xdr:colOff>
                    <xdr:row>1023</xdr:row>
                    <xdr:rowOff>133350</xdr:rowOff>
                  </to>
                </anchor>
              </controlPr>
            </control>
          </mc:Choice>
        </mc:AlternateContent>
        <mc:AlternateContent xmlns:mc="http://schemas.openxmlformats.org/markup-compatibility/2006">
          <mc:Choice Requires="x14">
            <control shapeId="1597" r:id="rId576" name="Button 573">
              <controlPr defaultSize="0" autoFill="0" autoLine="0" autoPict="0" macro="[1]!Sheet1.deleteRow">
                <anchor moveWithCells="1" sizeWithCells="1">
                  <from>
                    <xdr:col>6</xdr:col>
                    <xdr:colOff>0</xdr:colOff>
                    <xdr:row>1024</xdr:row>
                    <xdr:rowOff>0</xdr:rowOff>
                  </from>
                  <to>
                    <xdr:col>7</xdr:col>
                    <xdr:colOff>0</xdr:colOff>
                    <xdr:row>1024</xdr:row>
                    <xdr:rowOff>133350</xdr:rowOff>
                  </to>
                </anchor>
              </controlPr>
            </control>
          </mc:Choice>
        </mc:AlternateContent>
        <mc:AlternateContent xmlns:mc="http://schemas.openxmlformats.org/markup-compatibility/2006">
          <mc:Choice Requires="x14">
            <control shapeId="1598" r:id="rId577" name="Button 574">
              <controlPr defaultSize="0" autoFill="0" autoLine="0" autoPict="0" macro="[1]!Sheet1.deleteRow">
                <anchor moveWithCells="1" sizeWithCells="1">
                  <from>
                    <xdr:col>6</xdr:col>
                    <xdr:colOff>0</xdr:colOff>
                    <xdr:row>1025</xdr:row>
                    <xdr:rowOff>0</xdr:rowOff>
                  </from>
                  <to>
                    <xdr:col>7</xdr:col>
                    <xdr:colOff>0</xdr:colOff>
                    <xdr:row>1025</xdr:row>
                    <xdr:rowOff>133350</xdr:rowOff>
                  </to>
                </anchor>
              </controlPr>
            </control>
          </mc:Choice>
        </mc:AlternateContent>
        <mc:AlternateContent xmlns:mc="http://schemas.openxmlformats.org/markup-compatibility/2006">
          <mc:Choice Requires="x14">
            <control shapeId="1599" r:id="rId578" name="Button 575">
              <controlPr defaultSize="0" autoFill="0" autoLine="0" autoPict="0" macro="[1]!Sheet1.deleteRow">
                <anchor moveWithCells="1" sizeWithCells="1">
                  <from>
                    <xdr:col>6</xdr:col>
                    <xdr:colOff>0</xdr:colOff>
                    <xdr:row>1026</xdr:row>
                    <xdr:rowOff>0</xdr:rowOff>
                  </from>
                  <to>
                    <xdr:col>7</xdr:col>
                    <xdr:colOff>0</xdr:colOff>
                    <xdr:row>1026</xdr:row>
                    <xdr:rowOff>133350</xdr:rowOff>
                  </to>
                </anchor>
              </controlPr>
            </control>
          </mc:Choice>
        </mc:AlternateContent>
        <mc:AlternateContent xmlns:mc="http://schemas.openxmlformats.org/markup-compatibility/2006">
          <mc:Choice Requires="x14">
            <control shapeId="1600" r:id="rId579" name="Button 576">
              <controlPr defaultSize="0" autoFill="0" autoLine="0" autoPict="0" macro="[1]!Sheet1.deleteRow">
                <anchor moveWithCells="1" sizeWithCells="1">
                  <from>
                    <xdr:col>6</xdr:col>
                    <xdr:colOff>0</xdr:colOff>
                    <xdr:row>1027</xdr:row>
                    <xdr:rowOff>0</xdr:rowOff>
                  </from>
                  <to>
                    <xdr:col>7</xdr:col>
                    <xdr:colOff>0</xdr:colOff>
                    <xdr:row>1027</xdr:row>
                    <xdr:rowOff>133350</xdr:rowOff>
                  </to>
                </anchor>
              </controlPr>
            </control>
          </mc:Choice>
        </mc:AlternateContent>
        <mc:AlternateContent xmlns:mc="http://schemas.openxmlformats.org/markup-compatibility/2006">
          <mc:Choice Requires="x14">
            <control shapeId="1601" r:id="rId580" name="Button 577">
              <controlPr defaultSize="0" autoFill="0" autoLine="0" autoPict="0" macro="[1]!Sheet1.deleteRow">
                <anchor moveWithCells="1" sizeWithCells="1">
                  <from>
                    <xdr:col>6</xdr:col>
                    <xdr:colOff>0</xdr:colOff>
                    <xdr:row>1028</xdr:row>
                    <xdr:rowOff>0</xdr:rowOff>
                  </from>
                  <to>
                    <xdr:col>7</xdr:col>
                    <xdr:colOff>0</xdr:colOff>
                    <xdr:row>1028</xdr:row>
                    <xdr:rowOff>133350</xdr:rowOff>
                  </to>
                </anchor>
              </controlPr>
            </control>
          </mc:Choice>
        </mc:AlternateContent>
        <mc:AlternateContent xmlns:mc="http://schemas.openxmlformats.org/markup-compatibility/2006">
          <mc:Choice Requires="x14">
            <control shapeId="1602" r:id="rId581" name="Button 578">
              <controlPr defaultSize="0" autoFill="0" autoLine="0" autoPict="0" macro="[1]!Sheet1.deleteRow">
                <anchor moveWithCells="1" sizeWithCells="1">
                  <from>
                    <xdr:col>6</xdr:col>
                    <xdr:colOff>0</xdr:colOff>
                    <xdr:row>1029</xdr:row>
                    <xdr:rowOff>0</xdr:rowOff>
                  </from>
                  <to>
                    <xdr:col>7</xdr:col>
                    <xdr:colOff>0</xdr:colOff>
                    <xdr:row>1029</xdr:row>
                    <xdr:rowOff>133350</xdr:rowOff>
                  </to>
                </anchor>
              </controlPr>
            </control>
          </mc:Choice>
        </mc:AlternateContent>
        <mc:AlternateContent xmlns:mc="http://schemas.openxmlformats.org/markup-compatibility/2006">
          <mc:Choice Requires="x14">
            <control shapeId="1603" r:id="rId582" name="Button 579">
              <controlPr defaultSize="0" autoFill="0" autoLine="0" autoPict="0" macro="[1]!Sheet1.deleteRow">
                <anchor moveWithCells="1" sizeWithCells="1">
                  <from>
                    <xdr:col>6</xdr:col>
                    <xdr:colOff>0</xdr:colOff>
                    <xdr:row>1030</xdr:row>
                    <xdr:rowOff>0</xdr:rowOff>
                  </from>
                  <to>
                    <xdr:col>7</xdr:col>
                    <xdr:colOff>0</xdr:colOff>
                    <xdr:row>1030</xdr:row>
                    <xdr:rowOff>133350</xdr:rowOff>
                  </to>
                </anchor>
              </controlPr>
            </control>
          </mc:Choice>
        </mc:AlternateContent>
        <mc:AlternateContent xmlns:mc="http://schemas.openxmlformats.org/markup-compatibility/2006">
          <mc:Choice Requires="x14">
            <control shapeId="1604" r:id="rId583" name="Button 580">
              <controlPr defaultSize="0" autoFill="0" autoLine="0" autoPict="0" macro="[1]!Sheet1.deleteRow">
                <anchor moveWithCells="1" sizeWithCells="1">
                  <from>
                    <xdr:col>6</xdr:col>
                    <xdr:colOff>0</xdr:colOff>
                    <xdr:row>1031</xdr:row>
                    <xdr:rowOff>0</xdr:rowOff>
                  </from>
                  <to>
                    <xdr:col>7</xdr:col>
                    <xdr:colOff>0</xdr:colOff>
                    <xdr:row>1031</xdr:row>
                    <xdr:rowOff>133350</xdr:rowOff>
                  </to>
                </anchor>
              </controlPr>
            </control>
          </mc:Choice>
        </mc:AlternateContent>
        <mc:AlternateContent xmlns:mc="http://schemas.openxmlformats.org/markup-compatibility/2006">
          <mc:Choice Requires="x14">
            <control shapeId="1605" r:id="rId584" name="Button 581">
              <controlPr defaultSize="0" autoFill="0" autoLine="0" autoPict="0" macro="[1]!Sheet1.deleteRow">
                <anchor moveWithCells="1" sizeWithCells="1">
                  <from>
                    <xdr:col>6</xdr:col>
                    <xdr:colOff>0</xdr:colOff>
                    <xdr:row>1032</xdr:row>
                    <xdr:rowOff>0</xdr:rowOff>
                  </from>
                  <to>
                    <xdr:col>7</xdr:col>
                    <xdr:colOff>0</xdr:colOff>
                    <xdr:row>1032</xdr:row>
                    <xdr:rowOff>133350</xdr:rowOff>
                  </to>
                </anchor>
              </controlPr>
            </control>
          </mc:Choice>
        </mc:AlternateContent>
        <mc:AlternateContent xmlns:mc="http://schemas.openxmlformats.org/markup-compatibility/2006">
          <mc:Choice Requires="x14">
            <control shapeId="1606" r:id="rId585" name="Button 582">
              <controlPr defaultSize="0" autoFill="0" autoLine="0" autoPict="0" macro="[1]!Sheet1.deleteRow">
                <anchor moveWithCells="1" sizeWithCells="1">
                  <from>
                    <xdr:col>6</xdr:col>
                    <xdr:colOff>0</xdr:colOff>
                    <xdr:row>1033</xdr:row>
                    <xdr:rowOff>0</xdr:rowOff>
                  </from>
                  <to>
                    <xdr:col>7</xdr:col>
                    <xdr:colOff>0</xdr:colOff>
                    <xdr:row>1033</xdr:row>
                    <xdr:rowOff>133350</xdr:rowOff>
                  </to>
                </anchor>
              </controlPr>
            </control>
          </mc:Choice>
        </mc:AlternateContent>
        <mc:AlternateContent xmlns:mc="http://schemas.openxmlformats.org/markup-compatibility/2006">
          <mc:Choice Requires="x14">
            <control shapeId="1607" r:id="rId586" name="Button 583">
              <controlPr defaultSize="0" autoFill="0" autoLine="0" autoPict="0" macro="[1]!Sheet1.deleteRow">
                <anchor moveWithCells="1" sizeWithCells="1">
                  <from>
                    <xdr:col>6</xdr:col>
                    <xdr:colOff>0</xdr:colOff>
                    <xdr:row>1034</xdr:row>
                    <xdr:rowOff>0</xdr:rowOff>
                  </from>
                  <to>
                    <xdr:col>7</xdr:col>
                    <xdr:colOff>0</xdr:colOff>
                    <xdr:row>1034</xdr:row>
                    <xdr:rowOff>133350</xdr:rowOff>
                  </to>
                </anchor>
              </controlPr>
            </control>
          </mc:Choice>
        </mc:AlternateContent>
        <mc:AlternateContent xmlns:mc="http://schemas.openxmlformats.org/markup-compatibility/2006">
          <mc:Choice Requires="x14">
            <control shapeId="1608" r:id="rId587" name="Button 584">
              <controlPr defaultSize="0" autoFill="0" autoLine="0" autoPict="0" macro="[1]!Sheet1.deleteRow">
                <anchor moveWithCells="1" sizeWithCells="1">
                  <from>
                    <xdr:col>6</xdr:col>
                    <xdr:colOff>0</xdr:colOff>
                    <xdr:row>1035</xdr:row>
                    <xdr:rowOff>0</xdr:rowOff>
                  </from>
                  <to>
                    <xdr:col>7</xdr:col>
                    <xdr:colOff>0</xdr:colOff>
                    <xdr:row>1035</xdr:row>
                    <xdr:rowOff>133350</xdr:rowOff>
                  </to>
                </anchor>
              </controlPr>
            </control>
          </mc:Choice>
        </mc:AlternateContent>
        <mc:AlternateContent xmlns:mc="http://schemas.openxmlformats.org/markup-compatibility/2006">
          <mc:Choice Requires="x14">
            <control shapeId="1609" r:id="rId588" name="Button 585">
              <controlPr defaultSize="0" autoFill="0" autoLine="0" autoPict="0" macro="[1]!Sheet1.deleteRow">
                <anchor moveWithCells="1" sizeWithCells="1">
                  <from>
                    <xdr:col>6</xdr:col>
                    <xdr:colOff>0</xdr:colOff>
                    <xdr:row>1036</xdr:row>
                    <xdr:rowOff>0</xdr:rowOff>
                  </from>
                  <to>
                    <xdr:col>7</xdr:col>
                    <xdr:colOff>0</xdr:colOff>
                    <xdr:row>1036</xdr:row>
                    <xdr:rowOff>133350</xdr:rowOff>
                  </to>
                </anchor>
              </controlPr>
            </control>
          </mc:Choice>
        </mc:AlternateContent>
        <mc:AlternateContent xmlns:mc="http://schemas.openxmlformats.org/markup-compatibility/2006">
          <mc:Choice Requires="x14">
            <control shapeId="1610" r:id="rId589" name="Button 586">
              <controlPr defaultSize="0" autoFill="0" autoLine="0" autoPict="0" macro="[1]!Sheet1.deleteRow">
                <anchor moveWithCells="1" sizeWithCells="1">
                  <from>
                    <xdr:col>6</xdr:col>
                    <xdr:colOff>0</xdr:colOff>
                    <xdr:row>1037</xdr:row>
                    <xdr:rowOff>0</xdr:rowOff>
                  </from>
                  <to>
                    <xdr:col>7</xdr:col>
                    <xdr:colOff>0</xdr:colOff>
                    <xdr:row>1037</xdr:row>
                    <xdr:rowOff>133350</xdr:rowOff>
                  </to>
                </anchor>
              </controlPr>
            </control>
          </mc:Choice>
        </mc:AlternateContent>
        <mc:AlternateContent xmlns:mc="http://schemas.openxmlformats.org/markup-compatibility/2006">
          <mc:Choice Requires="x14">
            <control shapeId="1611" r:id="rId590" name="Button 587">
              <controlPr defaultSize="0" autoFill="0" autoLine="0" autoPict="0" macro="[1]!Sheet1.deleteRow">
                <anchor moveWithCells="1" sizeWithCells="1">
                  <from>
                    <xdr:col>6</xdr:col>
                    <xdr:colOff>0</xdr:colOff>
                    <xdr:row>1038</xdr:row>
                    <xdr:rowOff>0</xdr:rowOff>
                  </from>
                  <to>
                    <xdr:col>7</xdr:col>
                    <xdr:colOff>0</xdr:colOff>
                    <xdr:row>1038</xdr:row>
                    <xdr:rowOff>133350</xdr:rowOff>
                  </to>
                </anchor>
              </controlPr>
            </control>
          </mc:Choice>
        </mc:AlternateContent>
        <mc:AlternateContent xmlns:mc="http://schemas.openxmlformats.org/markup-compatibility/2006">
          <mc:Choice Requires="x14">
            <control shapeId="1612" r:id="rId591" name="Button 588">
              <controlPr defaultSize="0" autoFill="0" autoLine="0" autoPict="0" macro="[1]!Sheet1.deleteRow">
                <anchor moveWithCells="1" sizeWithCells="1">
                  <from>
                    <xdr:col>6</xdr:col>
                    <xdr:colOff>0</xdr:colOff>
                    <xdr:row>1039</xdr:row>
                    <xdr:rowOff>0</xdr:rowOff>
                  </from>
                  <to>
                    <xdr:col>7</xdr:col>
                    <xdr:colOff>0</xdr:colOff>
                    <xdr:row>1039</xdr:row>
                    <xdr:rowOff>133350</xdr:rowOff>
                  </to>
                </anchor>
              </controlPr>
            </control>
          </mc:Choice>
        </mc:AlternateContent>
        <mc:AlternateContent xmlns:mc="http://schemas.openxmlformats.org/markup-compatibility/2006">
          <mc:Choice Requires="x14">
            <control shapeId="1613" r:id="rId592" name="Button 589">
              <controlPr defaultSize="0" autoFill="0" autoLine="0" autoPict="0" macro="[1]!Sheet1.deleteProcedure">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614" r:id="rId593" name="Button 590">
              <controlPr defaultSize="0" autoFill="0" autoLine="0" autoPict="0" macro="[1]!Sheet1.InsertNewTabl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615" r:id="rId594" name="Button 591">
              <controlPr defaultSize="0" autoFill="0" autoLine="0" autoPict="0" macro="[1]!Sheet1.deleteRow">
                <anchor moveWithCells="1" sizeWithCells="1">
                  <from>
                    <xdr:col>6</xdr:col>
                    <xdr:colOff>0</xdr:colOff>
                    <xdr:row>1050</xdr:row>
                    <xdr:rowOff>0</xdr:rowOff>
                  </from>
                  <to>
                    <xdr:col>7</xdr:col>
                    <xdr:colOff>0</xdr:colOff>
                    <xdr:row>1050</xdr:row>
                    <xdr:rowOff>133350</xdr:rowOff>
                  </to>
                </anchor>
              </controlPr>
            </control>
          </mc:Choice>
        </mc:AlternateContent>
        <mc:AlternateContent xmlns:mc="http://schemas.openxmlformats.org/markup-compatibility/2006">
          <mc:Choice Requires="x14">
            <control shapeId="1616" r:id="rId595" name="Button 592">
              <controlPr defaultSize="0" autoFill="0" autoLine="0" autoPict="0" macro="[1]!Sheet1.deleteRow">
                <anchor moveWithCells="1" sizeWithCells="1">
                  <from>
                    <xdr:col>6</xdr:col>
                    <xdr:colOff>0</xdr:colOff>
                    <xdr:row>1051</xdr:row>
                    <xdr:rowOff>0</xdr:rowOff>
                  </from>
                  <to>
                    <xdr:col>7</xdr:col>
                    <xdr:colOff>0</xdr:colOff>
                    <xdr:row>1051</xdr:row>
                    <xdr:rowOff>133350</xdr:rowOff>
                  </to>
                </anchor>
              </controlPr>
            </control>
          </mc:Choice>
        </mc:AlternateContent>
        <mc:AlternateContent xmlns:mc="http://schemas.openxmlformats.org/markup-compatibility/2006">
          <mc:Choice Requires="x14">
            <control shapeId="1617" r:id="rId596" name="Button 593">
              <controlPr defaultSize="0" autoFill="0" autoLine="0" autoPict="0" macro="[1]!Sheet1.deleteRow">
                <anchor moveWithCells="1" sizeWithCells="1">
                  <from>
                    <xdr:col>6</xdr:col>
                    <xdr:colOff>0</xdr:colOff>
                    <xdr:row>1052</xdr:row>
                    <xdr:rowOff>0</xdr:rowOff>
                  </from>
                  <to>
                    <xdr:col>7</xdr:col>
                    <xdr:colOff>0</xdr:colOff>
                    <xdr:row>1052</xdr:row>
                    <xdr:rowOff>133350</xdr:rowOff>
                  </to>
                </anchor>
              </controlPr>
            </control>
          </mc:Choice>
        </mc:AlternateContent>
        <mc:AlternateContent xmlns:mc="http://schemas.openxmlformats.org/markup-compatibility/2006">
          <mc:Choice Requires="x14">
            <control shapeId="1618" r:id="rId597" name="Button 594">
              <controlPr defaultSize="0" autoFill="0" autoLine="0" autoPict="0" macro="[1]!Sheet1.deleteRow">
                <anchor moveWithCells="1" sizeWithCells="1">
                  <from>
                    <xdr:col>6</xdr:col>
                    <xdr:colOff>0</xdr:colOff>
                    <xdr:row>1053</xdr:row>
                    <xdr:rowOff>0</xdr:rowOff>
                  </from>
                  <to>
                    <xdr:col>7</xdr:col>
                    <xdr:colOff>0</xdr:colOff>
                    <xdr:row>1053</xdr:row>
                    <xdr:rowOff>133350</xdr:rowOff>
                  </to>
                </anchor>
              </controlPr>
            </control>
          </mc:Choice>
        </mc:AlternateContent>
        <mc:AlternateContent xmlns:mc="http://schemas.openxmlformats.org/markup-compatibility/2006">
          <mc:Choice Requires="x14">
            <control shapeId="1619" r:id="rId598" name="Button 595">
              <controlPr defaultSize="0" autoFill="0" autoLine="0" autoPict="0" macro="[1]!Sheet1.deleteRow">
                <anchor moveWithCells="1" sizeWithCells="1">
                  <from>
                    <xdr:col>6</xdr:col>
                    <xdr:colOff>0</xdr:colOff>
                    <xdr:row>1054</xdr:row>
                    <xdr:rowOff>0</xdr:rowOff>
                  </from>
                  <to>
                    <xdr:col>7</xdr:col>
                    <xdr:colOff>0</xdr:colOff>
                    <xdr:row>1054</xdr:row>
                    <xdr:rowOff>133350</xdr:rowOff>
                  </to>
                </anchor>
              </controlPr>
            </control>
          </mc:Choice>
        </mc:AlternateContent>
        <mc:AlternateContent xmlns:mc="http://schemas.openxmlformats.org/markup-compatibility/2006">
          <mc:Choice Requires="x14">
            <control shapeId="1620" r:id="rId599" name="Button 596">
              <controlPr defaultSize="0" autoFill="0" autoLine="0" autoPict="0" macro="[1]!Sheet1.deleteRow">
                <anchor moveWithCells="1" sizeWithCells="1">
                  <from>
                    <xdr:col>6</xdr:col>
                    <xdr:colOff>0</xdr:colOff>
                    <xdr:row>1055</xdr:row>
                    <xdr:rowOff>0</xdr:rowOff>
                  </from>
                  <to>
                    <xdr:col>7</xdr:col>
                    <xdr:colOff>0</xdr:colOff>
                    <xdr:row>1055</xdr:row>
                    <xdr:rowOff>133350</xdr:rowOff>
                  </to>
                </anchor>
              </controlPr>
            </control>
          </mc:Choice>
        </mc:AlternateContent>
        <mc:AlternateContent xmlns:mc="http://schemas.openxmlformats.org/markup-compatibility/2006">
          <mc:Choice Requires="x14">
            <control shapeId="1621" r:id="rId600" name="Button 597">
              <controlPr defaultSize="0" autoFill="0" autoLine="0" autoPict="0" macro="[1]!Sheet1.deleteRow">
                <anchor moveWithCells="1" sizeWithCells="1">
                  <from>
                    <xdr:col>6</xdr:col>
                    <xdr:colOff>0</xdr:colOff>
                    <xdr:row>1056</xdr:row>
                    <xdr:rowOff>0</xdr:rowOff>
                  </from>
                  <to>
                    <xdr:col>7</xdr:col>
                    <xdr:colOff>0</xdr:colOff>
                    <xdr:row>1056</xdr:row>
                    <xdr:rowOff>133350</xdr:rowOff>
                  </to>
                </anchor>
              </controlPr>
            </control>
          </mc:Choice>
        </mc:AlternateContent>
        <mc:AlternateContent xmlns:mc="http://schemas.openxmlformats.org/markup-compatibility/2006">
          <mc:Choice Requires="x14">
            <control shapeId="1622" r:id="rId601" name="Button 598">
              <controlPr defaultSize="0" autoFill="0" autoLine="0" autoPict="0" macro="[1]!Sheet1.deleteRow">
                <anchor moveWithCells="1" sizeWithCells="1">
                  <from>
                    <xdr:col>6</xdr:col>
                    <xdr:colOff>0</xdr:colOff>
                    <xdr:row>1057</xdr:row>
                    <xdr:rowOff>0</xdr:rowOff>
                  </from>
                  <to>
                    <xdr:col>7</xdr:col>
                    <xdr:colOff>0</xdr:colOff>
                    <xdr:row>1057</xdr:row>
                    <xdr:rowOff>133350</xdr:rowOff>
                  </to>
                </anchor>
              </controlPr>
            </control>
          </mc:Choice>
        </mc:AlternateContent>
        <mc:AlternateContent xmlns:mc="http://schemas.openxmlformats.org/markup-compatibility/2006">
          <mc:Choice Requires="x14">
            <control shapeId="1623" r:id="rId602" name="Button 599">
              <controlPr defaultSize="0" autoFill="0" autoLine="0" autoPict="0" macro="[1]!Sheet1.deleteRow">
                <anchor moveWithCells="1" sizeWithCells="1">
                  <from>
                    <xdr:col>6</xdr:col>
                    <xdr:colOff>0</xdr:colOff>
                    <xdr:row>1058</xdr:row>
                    <xdr:rowOff>0</xdr:rowOff>
                  </from>
                  <to>
                    <xdr:col>7</xdr:col>
                    <xdr:colOff>0</xdr:colOff>
                    <xdr:row>1058</xdr:row>
                    <xdr:rowOff>133350</xdr:rowOff>
                  </to>
                </anchor>
              </controlPr>
            </control>
          </mc:Choice>
        </mc:AlternateContent>
        <mc:AlternateContent xmlns:mc="http://schemas.openxmlformats.org/markup-compatibility/2006">
          <mc:Choice Requires="x14">
            <control shapeId="1624" r:id="rId603" name="Button 600">
              <controlPr defaultSize="0" autoFill="0" autoLine="0" autoPict="0" macro="[1]!Sheet1.deleteRow">
                <anchor moveWithCells="1" sizeWithCells="1">
                  <from>
                    <xdr:col>6</xdr:col>
                    <xdr:colOff>0</xdr:colOff>
                    <xdr:row>1059</xdr:row>
                    <xdr:rowOff>0</xdr:rowOff>
                  </from>
                  <to>
                    <xdr:col>7</xdr:col>
                    <xdr:colOff>0</xdr:colOff>
                    <xdr:row>1059</xdr:row>
                    <xdr:rowOff>133350</xdr:rowOff>
                  </to>
                </anchor>
              </controlPr>
            </control>
          </mc:Choice>
        </mc:AlternateContent>
        <mc:AlternateContent xmlns:mc="http://schemas.openxmlformats.org/markup-compatibility/2006">
          <mc:Choice Requires="x14">
            <control shapeId="1625" r:id="rId604" name="Button 601">
              <controlPr defaultSize="0" autoFill="0" autoLine="0" autoPict="0" macro="[1]!Sheet1.deleteRow">
                <anchor moveWithCells="1" sizeWithCells="1">
                  <from>
                    <xdr:col>6</xdr:col>
                    <xdr:colOff>0</xdr:colOff>
                    <xdr:row>1060</xdr:row>
                    <xdr:rowOff>0</xdr:rowOff>
                  </from>
                  <to>
                    <xdr:col>7</xdr:col>
                    <xdr:colOff>0</xdr:colOff>
                    <xdr:row>1060</xdr:row>
                    <xdr:rowOff>133350</xdr:rowOff>
                  </to>
                </anchor>
              </controlPr>
            </control>
          </mc:Choice>
        </mc:AlternateContent>
        <mc:AlternateContent xmlns:mc="http://schemas.openxmlformats.org/markup-compatibility/2006">
          <mc:Choice Requires="x14">
            <control shapeId="1626" r:id="rId605" name="Button 602">
              <controlPr defaultSize="0" autoFill="0" autoLine="0" autoPict="0" macro="[1]!Sheet1.deleteRow">
                <anchor moveWithCells="1" sizeWithCells="1">
                  <from>
                    <xdr:col>6</xdr:col>
                    <xdr:colOff>0</xdr:colOff>
                    <xdr:row>1061</xdr:row>
                    <xdr:rowOff>0</xdr:rowOff>
                  </from>
                  <to>
                    <xdr:col>7</xdr:col>
                    <xdr:colOff>0</xdr:colOff>
                    <xdr:row>1061</xdr:row>
                    <xdr:rowOff>133350</xdr:rowOff>
                  </to>
                </anchor>
              </controlPr>
            </control>
          </mc:Choice>
        </mc:AlternateContent>
        <mc:AlternateContent xmlns:mc="http://schemas.openxmlformats.org/markup-compatibility/2006">
          <mc:Choice Requires="x14">
            <control shapeId="1627" r:id="rId606" name="Button 603">
              <controlPr defaultSize="0" autoFill="0" autoLine="0" autoPict="0" macro="[1]!Sheet1.deleteRow">
                <anchor moveWithCells="1" sizeWithCells="1">
                  <from>
                    <xdr:col>6</xdr:col>
                    <xdr:colOff>0</xdr:colOff>
                    <xdr:row>1062</xdr:row>
                    <xdr:rowOff>0</xdr:rowOff>
                  </from>
                  <to>
                    <xdr:col>7</xdr:col>
                    <xdr:colOff>0</xdr:colOff>
                    <xdr:row>1062</xdr:row>
                    <xdr:rowOff>133350</xdr:rowOff>
                  </to>
                </anchor>
              </controlPr>
            </control>
          </mc:Choice>
        </mc:AlternateContent>
        <mc:AlternateContent xmlns:mc="http://schemas.openxmlformats.org/markup-compatibility/2006">
          <mc:Choice Requires="x14">
            <control shapeId="1628" r:id="rId607" name="Button 604">
              <controlPr defaultSize="0" autoFill="0" autoLine="0" autoPict="0" macro="[1]!Sheet1.deleteRow">
                <anchor moveWithCells="1" sizeWithCells="1">
                  <from>
                    <xdr:col>6</xdr:col>
                    <xdr:colOff>0</xdr:colOff>
                    <xdr:row>1063</xdr:row>
                    <xdr:rowOff>0</xdr:rowOff>
                  </from>
                  <to>
                    <xdr:col>7</xdr:col>
                    <xdr:colOff>0</xdr:colOff>
                    <xdr:row>1063</xdr:row>
                    <xdr:rowOff>133350</xdr:rowOff>
                  </to>
                </anchor>
              </controlPr>
            </control>
          </mc:Choice>
        </mc:AlternateContent>
        <mc:AlternateContent xmlns:mc="http://schemas.openxmlformats.org/markup-compatibility/2006">
          <mc:Choice Requires="x14">
            <control shapeId="1629" r:id="rId608" name="Button 605">
              <controlPr defaultSize="0" autoFill="0" autoLine="0" autoPict="0" macro="[1]!Sheet1.deleteRow">
                <anchor moveWithCells="1" sizeWithCells="1">
                  <from>
                    <xdr:col>6</xdr:col>
                    <xdr:colOff>0</xdr:colOff>
                    <xdr:row>1064</xdr:row>
                    <xdr:rowOff>0</xdr:rowOff>
                  </from>
                  <to>
                    <xdr:col>7</xdr:col>
                    <xdr:colOff>0</xdr:colOff>
                    <xdr:row>1064</xdr:row>
                    <xdr:rowOff>133350</xdr:rowOff>
                  </to>
                </anchor>
              </controlPr>
            </control>
          </mc:Choice>
        </mc:AlternateContent>
        <mc:AlternateContent xmlns:mc="http://schemas.openxmlformats.org/markup-compatibility/2006">
          <mc:Choice Requires="x14">
            <control shapeId="1630" r:id="rId609" name="Button 606">
              <controlPr defaultSize="0" autoFill="0" autoLine="0" autoPict="0" macro="[1]!Sheet1.deleteRow">
                <anchor moveWithCells="1" sizeWithCells="1">
                  <from>
                    <xdr:col>6</xdr:col>
                    <xdr:colOff>0</xdr:colOff>
                    <xdr:row>1065</xdr:row>
                    <xdr:rowOff>0</xdr:rowOff>
                  </from>
                  <to>
                    <xdr:col>7</xdr:col>
                    <xdr:colOff>0</xdr:colOff>
                    <xdr:row>1065</xdr:row>
                    <xdr:rowOff>133350</xdr:rowOff>
                  </to>
                </anchor>
              </controlPr>
            </control>
          </mc:Choice>
        </mc:AlternateContent>
        <mc:AlternateContent xmlns:mc="http://schemas.openxmlformats.org/markup-compatibility/2006">
          <mc:Choice Requires="x14">
            <control shapeId="1631" r:id="rId610" name="Button 607">
              <controlPr defaultSize="0" autoFill="0" autoLine="0" autoPict="0" macro="[1]!Sheet1.deleteRow">
                <anchor moveWithCells="1" sizeWithCells="1">
                  <from>
                    <xdr:col>6</xdr:col>
                    <xdr:colOff>0</xdr:colOff>
                    <xdr:row>1066</xdr:row>
                    <xdr:rowOff>0</xdr:rowOff>
                  </from>
                  <to>
                    <xdr:col>7</xdr:col>
                    <xdr:colOff>0</xdr:colOff>
                    <xdr:row>1066</xdr:row>
                    <xdr:rowOff>133350</xdr:rowOff>
                  </to>
                </anchor>
              </controlPr>
            </control>
          </mc:Choice>
        </mc:AlternateContent>
        <mc:AlternateContent xmlns:mc="http://schemas.openxmlformats.org/markup-compatibility/2006">
          <mc:Choice Requires="x14">
            <control shapeId="1632" r:id="rId611" name="Button 608">
              <controlPr defaultSize="0" autoFill="0" autoLine="0" autoPict="0" macro="[1]!Sheet1.deleteRow">
                <anchor moveWithCells="1" sizeWithCells="1">
                  <from>
                    <xdr:col>6</xdr:col>
                    <xdr:colOff>0</xdr:colOff>
                    <xdr:row>1067</xdr:row>
                    <xdr:rowOff>0</xdr:rowOff>
                  </from>
                  <to>
                    <xdr:col>7</xdr:col>
                    <xdr:colOff>0</xdr:colOff>
                    <xdr:row>1067</xdr:row>
                    <xdr:rowOff>133350</xdr:rowOff>
                  </to>
                </anchor>
              </controlPr>
            </control>
          </mc:Choice>
        </mc:AlternateContent>
        <mc:AlternateContent xmlns:mc="http://schemas.openxmlformats.org/markup-compatibility/2006">
          <mc:Choice Requires="x14">
            <control shapeId="1633" r:id="rId612" name="Button 609">
              <controlPr defaultSize="0" autoFill="0" autoLine="0" autoPict="0" macro="[1]!Sheet1.deleteRow">
                <anchor moveWithCells="1" sizeWithCells="1">
                  <from>
                    <xdr:col>6</xdr:col>
                    <xdr:colOff>0</xdr:colOff>
                    <xdr:row>1068</xdr:row>
                    <xdr:rowOff>0</xdr:rowOff>
                  </from>
                  <to>
                    <xdr:col>7</xdr:col>
                    <xdr:colOff>0</xdr:colOff>
                    <xdr:row>1068</xdr:row>
                    <xdr:rowOff>133350</xdr:rowOff>
                  </to>
                </anchor>
              </controlPr>
            </control>
          </mc:Choice>
        </mc:AlternateContent>
        <mc:AlternateContent xmlns:mc="http://schemas.openxmlformats.org/markup-compatibility/2006">
          <mc:Choice Requires="x14">
            <control shapeId="1634" r:id="rId613" name="Button 610">
              <controlPr defaultSize="0" autoFill="0" autoLine="0" autoPict="0" macro="[1]!Sheet1.deleteRow">
                <anchor moveWithCells="1" sizeWithCells="1">
                  <from>
                    <xdr:col>6</xdr:col>
                    <xdr:colOff>0</xdr:colOff>
                    <xdr:row>1069</xdr:row>
                    <xdr:rowOff>0</xdr:rowOff>
                  </from>
                  <to>
                    <xdr:col>7</xdr:col>
                    <xdr:colOff>0</xdr:colOff>
                    <xdr:row>1069</xdr:row>
                    <xdr:rowOff>133350</xdr:rowOff>
                  </to>
                </anchor>
              </controlPr>
            </control>
          </mc:Choice>
        </mc:AlternateContent>
        <mc:AlternateContent xmlns:mc="http://schemas.openxmlformats.org/markup-compatibility/2006">
          <mc:Choice Requires="x14">
            <control shapeId="1635" r:id="rId614" name="Button 611">
              <controlPr defaultSize="0" autoFill="0" autoLine="0" autoPict="0" macro="[1]!Sheet1.deleteRow">
                <anchor moveWithCells="1" sizeWithCells="1">
                  <from>
                    <xdr:col>6</xdr:col>
                    <xdr:colOff>0</xdr:colOff>
                    <xdr:row>1070</xdr:row>
                    <xdr:rowOff>0</xdr:rowOff>
                  </from>
                  <to>
                    <xdr:col>7</xdr:col>
                    <xdr:colOff>0</xdr:colOff>
                    <xdr:row>1070</xdr:row>
                    <xdr:rowOff>133350</xdr:rowOff>
                  </to>
                </anchor>
              </controlPr>
            </control>
          </mc:Choice>
        </mc:AlternateContent>
        <mc:AlternateContent xmlns:mc="http://schemas.openxmlformats.org/markup-compatibility/2006">
          <mc:Choice Requires="x14">
            <control shapeId="1636" r:id="rId615" name="Button 612">
              <controlPr defaultSize="0" autoFill="0" autoLine="0" autoPict="0" macro="[1]!Sheet1.deleteRow">
                <anchor moveWithCells="1" sizeWithCells="1">
                  <from>
                    <xdr:col>6</xdr:col>
                    <xdr:colOff>0</xdr:colOff>
                    <xdr:row>1071</xdr:row>
                    <xdr:rowOff>0</xdr:rowOff>
                  </from>
                  <to>
                    <xdr:col>7</xdr:col>
                    <xdr:colOff>0</xdr:colOff>
                    <xdr:row>1071</xdr:row>
                    <xdr:rowOff>133350</xdr:rowOff>
                  </to>
                </anchor>
              </controlPr>
            </control>
          </mc:Choice>
        </mc:AlternateContent>
        <mc:AlternateContent xmlns:mc="http://schemas.openxmlformats.org/markup-compatibility/2006">
          <mc:Choice Requires="x14">
            <control shapeId="1637" r:id="rId616" name="Button 613">
              <controlPr defaultSize="0" autoFill="0" autoLine="0" autoPict="0" macro="[1]!Sheet1.deleteRow">
                <anchor moveWithCells="1" sizeWithCells="1">
                  <from>
                    <xdr:col>6</xdr:col>
                    <xdr:colOff>0</xdr:colOff>
                    <xdr:row>1072</xdr:row>
                    <xdr:rowOff>0</xdr:rowOff>
                  </from>
                  <to>
                    <xdr:col>7</xdr:col>
                    <xdr:colOff>0</xdr:colOff>
                    <xdr:row>1072</xdr:row>
                    <xdr:rowOff>133350</xdr:rowOff>
                  </to>
                </anchor>
              </controlPr>
            </control>
          </mc:Choice>
        </mc:AlternateContent>
        <mc:AlternateContent xmlns:mc="http://schemas.openxmlformats.org/markup-compatibility/2006">
          <mc:Choice Requires="x14">
            <control shapeId="1638" r:id="rId617" name="Button 614">
              <controlPr defaultSize="0" autoFill="0" autoLine="0" autoPict="0" macro="[1]!Sheet1.deleteRow">
                <anchor moveWithCells="1" sizeWithCells="1">
                  <from>
                    <xdr:col>6</xdr:col>
                    <xdr:colOff>0</xdr:colOff>
                    <xdr:row>1073</xdr:row>
                    <xdr:rowOff>0</xdr:rowOff>
                  </from>
                  <to>
                    <xdr:col>7</xdr:col>
                    <xdr:colOff>0</xdr:colOff>
                    <xdr:row>1073</xdr:row>
                    <xdr:rowOff>133350</xdr:rowOff>
                  </to>
                </anchor>
              </controlPr>
            </control>
          </mc:Choice>
        </mc:AlternateContent>
        <mc:AlternateContent xmlns:mc="http://schemas.openxmlformats.org/markup-compatibility/2006">
          <mc:Choice Requires="x14">
            <control shapeId="1639" r:id="rId618" name="Button 615">
              <controlPr defaultSize="0" autoFill="0" autoLine="0" autoPict="0" macro="[1]!Sheet1.deleteRow">
                <anchor moveWithCells="1" sizeWithCells="1">
                  <from>
                    <xdr:col>6</xdr:col>
                    <xdr:colOff>0</xdr:colOff>
                    <xdr:row>1074</xdr:row>
                    <xdr:rowOff>0</xdr:rowOff>
                  </from>
                  <to>
                    <xdr:col>7</xdr:col>
                    <xdr:colOff>0</xdr:colOff>
                    <xdr:row>1074</xdr:row>
                    <xdr:rowOff>133350</xdr:rowOff>
                  </to>
                </anchor>
              </controlPr>
            </control>
          </mc:Choice>
        </mc:AlternateContent>
        <mc:AlternateContent xmlns:mc="http://schemas.openxmlformats.org/markup-compatibility/2006">
          <mc:Choice Requires="x14">
            <control shapeId="1640" r:id="rId619" name="Button 616">
              <controlPr defaultSize="0" autoFill="0" autoLine="0" autoPict="0" macro="[1]!Sheet1.deleteRow">
                <anchor moveWithCells="1" sizeWithCells="1">
                  <from>
                    <xdr:col>6</xdr:col>
                    <xdr:colOff>0</xdr:colOff>
                    <xdr:row>1075</xdr:row>
                    <xdr:rowOff>0</xdr:rowOff>
                  </from>
                  <to>
                    <xdr:col>7</xdr:col>
                    <xdr:colOff>0</xdr:colOff>
                    <xdr:row>1075</xdr:row>
                    <xdr:rowOff>133350</xdr:rowOff>
                  </to>
                </anchor>
              </controlPr>
            </control>
          </mc:Choice>
        </mc:AlternateContent>
        <mc:AlternateContent xmlns:mc="http://schemas.openxmlformats.org/markup-compatibility/2006">
          <mc:Choice Requires="x14">
            <control shapeId="1641" r:id="rId620" name="Button 617">
              <controlPr defaultSize="0" autoFill="0" autoLine="0" autoPict="0" macro="[1]!Sheet1.deleteRow">
                <anchor moveWithCells="1" sizeWithCells="1">
                  <from>
                    <xdr:col>6</xdr:col>
                    <xdr:colOff>0</xdr:colOff>
                    <xdr:row>1076</xdr:row>
                    <xdr:rowOff>0</xdr:rowOff>
                  </from>
                  <to>
                    <xdr:col>7</xdr:col>
                    <xdr:colOff>0</xdr:colOff>
                    <xdr:row>1076</xdr:row>
                    <xdr:rowOff>133350</xdr:rowOff>
                  </to>
                </anchor>
              </controlPr>
            </control>
          </mc:Choice>
        </mc:AlternateContent>
        <mc:AlternateContent xmlns:mc="http://schemas.openxmlformats.org/markup-compatibility/2006">
          <mc:Choice Requires="x14">
            <control shapeId="1642" r:id="rId621" name="Button 618">
              <controlPr defaultSize="0" autoFill="0" autoLine="0" autoPict="0" macro="[1]!Sheet1.deleteRow">
                <anchor moveWithCells="1" sizeWithCells="1">
                  <from>
                    <xdr:col>6</xdr:col>
                    <xdr:colOff>0</xdr:colOff>
                    <xdr:row>1077</xdr:row>
                    <xdr:rowOff>0</xdr:rowOff>
                  </from>
                  <to>
                    <xdr:col>7</xdr:col>
                    <xdr:colOff>0</xdr:colOff>
                    <xdr:row>1077</xdr:row>
                    <xdr:rowOff>133350</xdr:rowOff>
                  </to>
                </anchor>
              </controlPr>
            </control>
          </mc:Choice>
        </mc:AlternateContent>
        <mc:AlternateContent xmlns:mc="http://schemas.openxmlformats.org/markup-compatibility/2006">
          <mc:Choice Requires="x14">
            <control shapeId="1643" r:id="rId622" name="Button 619">
              <controlPr defaultSize="0" autoFill="0" autoLine="0" autoPict="0" macro="[1]!Sheet1.deleteProcedure">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1644" r:id="rId623" name="Button 620">
              <controlPr defaultSize="0" autoFill="0" autoLine="0" autoPict="0" macro="[1]!Sheet1.InsertNewTabl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645" r:id="rId624" name="Button 621">
              <controlPr defaultSize="0" autoFill="0" autoLine="0" autoPict="0" macro="[1]!Sheet1.deleteRow">
                <anchor moveWithCells="1" sizeWithCells="1">
                  <from>
                    <xdr:col>6</xdr:col>
                    <xdr:colOff>0</xdr:colOff>
                    <xdr:row>1088</xdr:row>
                    <xdr:rowOff>0</xdr:rowOff>
                  </from>
                  <to>
                    <xdr:col>7</xdr:col>
                    <xdr:colOff>0</xdr:colOff>
                    <xdr:row>1088</xdr:row>
                    <xdr:rowOff>133350</xdr:rowOff>
                  </to>
                </anchor>
              </controlPr>
            </control>
          </mc:Choice>
        </mc:AlternateContent>
        <mc:AlternateContent xmlns:mc="http://schemas.openxmlformats.org/markup-compatibility/2006">
          <mc:Choice Requires="x14">
            <control shapeId="1646" r:id="rId625" name="Button 622">
              <controlPr defaultSize="0" autoFill="0" autoLine="0" autoPict="0" macro="[1]!Sheet1.deleteRow">
                <anchor moveWithCells="1" sizeWithCells="1">
                  <from>
                    <xdr:col>6</xdr:col>
                    <xdr:colOff>0</xdr:colOff>
                    <xdr:row>1089</xdr:row>
                    <xdr:rowOff>0</xdr:rowOff>
                  </from>
                  <to>
                    <xdr:col>7</xdr:col>
                    <xdr:colOff>0</xdr:colOff>
                    <xdr:row>1089</xdr:row>
                    <xdr:rowOff>133350</xdr:rowOff>
                  </to>
                </anchor>
              </controlPr>
            </control>
          </mc:Choice>
        </mc:AlternateContent>
        <mc:AlternateContent xmlns:mc="http://schemas.openxmlformats.org/markup-compatibility/2006">
          <mc:Choice Requires="x14">
            <control shapeId="1647" r:id="rId626" name="Button 623">
              <controlPr defaultSize="0" autoFill="0" autoLine="0" autoPict="0" macro="[1]!Sheet1.deleteRow">
                <anchor moveWithCells="1" sizeWithCells="1">
                  <from>
                    <xdr:col>6</xdr:col>
                    <xdr:colOff>0</xdr:colOff>
                    <xdr:row>1090</xdr:row>
                    <xdr:rowOff>0</xdr:rowOff>
                  </from>
                  <to>
                    <xdr:col>7</xdr:col>
                    <xdr:colOff>0</xdr:colOff>
                    <xdr:row>1090</xdr:row>
                    <xdr:rowOff>133350</xdr:rowOff>
                  </to>
                </anchor>
              </controlPr>
            </control>
          </mc:Choice>
        </mc:AlternateContent>
        <mc:AlternateContent xmlns:mc="http://schemas.openxmlformats.org/markup-compatibility/2006">
          <mc:Choice Requires="x14">
            <control shapeId="1648" r:id="rId627" name="Button 624">
              <controlPr defaultSize="0" autoFill="0" autoLine="0" autoPict="0" macro="[1]!Sheet1.deleteRow">
                <anchor moveWithCells="1" sizeWithCells="1">
                  <from>
                    <xdr:col>6</xdr:col>
                    <xdr:colOff>0</xdr:colOff>
                    <xdr:row>1091</xdr:row>
                    <xdr:rowOff>0</xdr:rowOff>
                  </from>
                  <to>
                    <xdr:col>7</xdr:col>
                    <xdr:colOff>0</xdr:colOff>
                    <xdr:row>1091</xdr:row>
                    <xdr:rowOff>133350</xdr:rowOff>
                  </to>
                </anchor>
              </controlPr>
            </control>
          </mc:Choice>
        </mc:AlternateContent>
        <mc:AlternateContent xmlns:mc="http://schemas.openxmlformats.org/markup-compatibility/2006">
          <mc:Choice Requires="x14">
            <control shapeId="1649" r:id="rId628" name="Button 625">
              <controlPr defaultSize="0" autoFill="0" autoLine="0" autoPict="0" macro="[1]!Sheet1.deleteRow">
                <anchor moveWithCells="1" sizeWithCells="1">
                  <from>
                    <xdr:col>6</xdr:col>
                    <xdr:colOff>0</xdr:colOff>
                    <xdr:row>1092</xdr:row>
                    <xdr:rowOff>0</xdr:rowOff>
                  </from>
                  <to>
                    <xdr:col>7</xdr:col>
                    <xdr:colOff>0</xdr:colOff>
                    <xdr:row>1092</xdr:row>
                    <xdr:rowOff>133350</xdr:rowOff>
                  </to>
                </anchor>
              </controlPr>
            </control>
          </mc:Choice>
        </mc:AlternateContent>
        <mc:AlternateContent xmlns:mc="http://schemas.openxmlformats.org/markup-compatibility/2006">
          <mc:Choice Requires="x14">
            <control shapeId="1650" r:id="rId629" name="Button 626">
              <controlPr defaultSize="0" autoFill="0" autoLine="0" autoPict="0" macro="[1]!Sheet1.deleteRow">
                <anchor moveWithCells="1" sizeWithCells="1">
                  <from>
                    <xdr:col>6</xdr:col>
                    <xdr:colOff>0</xdr:colOff>
                    <xdr:row>1093</xdr:row>
                    <xdr:rowOff>0</xdr:rowOff>
                  </from>
                  <to>
                    <xdr:col>7</xdr:col>
                    <xdr:colOff>0</xdr:colOff>
                    <xdr:row>1093</xdr:row>
                    <xdr:rowOff>133350</xdr:rowOff>
                  </to>
                </anchor>
              </controlPr>
            </control>
          </mc:Choice>
        </mc:AlternateContent>
        <mc:AlternateContent xmlns:mc="http://schemas.openxmlformats.org/markup-compatibility/2006">
          <mc:Choice Requires="x14">
            <control shapeId="1651" r:id="rId630" name="Button 627">
              <controlPr defaultSize="0" autoFill="0" autoLine="0" autoPict="0" macro="[1]!Sheet1.deleteRow">
                <anchor moveWithCells="1" sizeWithCells="1">
                  <from>
                    <xdr:col>6</xdr:col>
                    <xdr:colOff>0</xdr:colOff>
                    <xdr:row>1094</xdr:row>
                    <xdr:rowOff>0</xdr:rowOff>
                  </from>
                  <to>
                    <xdr:col>7</xdr:col>
                    <xdr:colOff>0</xdr:colOff>
                    <xdr:row>1094</xdr:row>
                    <xdr:rowOff>133350</xdr:rowOff>
                  </to>
                </anchor>
              </controlPr>
            </control>
          </mc:Choice>
        </mc:AlternateContent>
        <mc:AlternateContent xmlns:mc="http://schemas.openxmlformats.org/markup-compatibility/2006">
          <mc:Choice Requires="x14">
            <control shapeId="1652" r:id="rId631" name="Button 628">
              <controlPr defaultSize="0" autoFill="0" autoLine="0" autoPict="0" macro="[1]!Sheet1.deleteRow">
                <anchor moveWithCells="1" sizeWithCells="1">
                  <from>
                    <xdr:col>6</xdr:col>
                    <xdr:colOff>0</xdr:colOff>
                    <xdr:row>1095</xdr:row>
                    <xdr:rowOff>0</xdr:rowOff>
                  </from>
                  <to>
                    <xdr:col>7</xdr:col>
                    <xdr:colOff>0</xdr:colOff>
                    <xdr:row>1095</xdr:row>
                    <xdr:rowOff>133350</xdr:rowOff>
                  </to>
                </anchor>
              </controlPr>
            </control>
          </mc:Choice>
        </mc:AlternateContent>
        <mc:AlternateContent xmlns:mc="http://schemas.openxmlformats.org/markup-compatibility/2006">
          <mc:Choice Requires="x14">
            <control shapeId="1653" r:id="rId632" name="Button 629">
              <controlPr defaultSize="0" autoFill="0" autoLine="0" autoPict="0" macro="[1]!Sheet1.deleteRow">
                <anchor moveWithCells="1" sizeWithCells="1">
                  <from>
                    <xdr:col>6</xdr:col>
                    <xdr:colOff>0</xdr:colOff>
                    <xdr:row>1096</xdr:row>
                    <xdr:rowOff>0</xdr:rowOff>
                  </from>
                  <to>
                    <xdr:col>7</xdr:col>
                    <xdr:colOff>0</xdr:colOff>
                    <xdr:row>1096</xdr:row>
                    <xdr:rowOff>133350</xdr:rowOff>
                  </to>
                </anchor>
              </controlPr>
            </control>
          </mc:Choice>
        </mc:AlternateContent>
        <mc:AlternateContent xmlns:mc="http://schemas.openxmlformats.org/markup-compatibility/2006">
          <mc:Choice Requires="x14">
            <control shapeId="1654" r:id="rId633" name="Button 630">
              <controlPr defaultSize="0" autoFill="0" autoLine="0" autoPict="0" macro="[1]!Sheet1.deleteRow">
                <anchor moveWithCells="1" sizeWithCells="1">
                  <from>
                    <xdr:col>6</xdr:col>
                    <xdr:colOff>0</xdr:colOff>
                    <xdr:row>1097</xdr:row>
                    <xdr:rowOff>0</xdr:rowOff>
                  </from>
                  <to>
                    <xdr:col>7</xdr:col>
                    <xdr:colOff>0</xdr:colOff>
                    <xdr:row>1097</xdr:row>
                    <xdr:rowOff>133350</xdr:rowOff>
                  </to>
                </anchor>
              </controlPr>
            </control>
          </mc:Choice>
        </mc:AlternateContent>
        <mc:AlternateContent xmlns:mc="http://schemas.openxmlformats.org/markup-compatibility/2006">
          <mc:Choice Requires="x14">
            <control shapeId="1655" r:id="rId634" name="Button 631">
              <controlPr defaultSize="0" autoFill="0" autoLine="0" autoPict="0" macro="[1]!Sheet1.deleteRow">
                <anchor moveWithCells="1" sizeWithCells="1">
                  <from>
                    <xdr:col>6</xdr:col>
                    <xdr:colOff>0</xdr:colOff>
                    <xdr:row>1098</xdr:row>
                    <xdr:rowOff>0</xdr:rowOff>
                  </from>
                  <to>
                    <xdr:col>7</xdr:col>
                    <xdr:colOff>0</xdr:colOff>
                    <xdr:row>1098</xdr:row>
                    <xdr:rowOff>133350</xdr:rowOff>
                  </to>
                </anchor>
              </controlPr>
            </control>
          </mc:Choice>
        </mc:AlternateContent>
        <mc:AlternateContent xmlns:mc="http://schemas.openxmlformats.org/markup-compatibility/2006">
          <mc:Choice Requires="x14">
            <control shapeId="1656" r:id="rId635" name="Button 632">
              <controlPr defaultSize="0" autoFill="0" autoLine="0" autoPict="0" macro="[1]!Sheet1.deleteRow">
                <anchor moveWithCells="1" sizeWithCells="1">
                  <from>
                    <xdr:col>6</xdr:col>
                    <xdr:colOff>0</xdr:colOff>
                    <xdr:row>1099</xdr:row>
                    <xdr:rowOff>0</xdr:rowOff>
                  </from>
                  <to>
                    <xdr:col>7</xdr:col>
                    <xdr:colOff>0</xdr:colOff>
                    <xdr:row>1099</xdr:row>
                    <xdr:rowOff>133350</xdr:rowOff>
                  </to>
                </anchor>
              </controlPr>
            </control>
          </mc:Choice>
        </mc:AlternateContent>
        <mc:AlternateContent xmlns:mc="http://schemas.openxmlformats.org/markup-compatibility/2006">
          <mc:Choice Requires="x14">
            <control shapeId="1657" r:id="rId636" name="Button 633">
              <controlPr defaultSize="0" autoFill="0" autoLine="0" autoPict="0" macro="[1]!Sheet1.deleteRow">
                <anchor moveWithCells="1" sizeWithCells="1">
                  <from>
                    <xdr:col>6</xdr:col>
                    <xdr:colOff>0</xdr:colOff>
                    <xdr:row>1100</xdr:row>
                    <xdr:rowOff>0</xdr:rowOff>
                  </from>
                  <to>
                    <xdr:col>7</xdr:col>
                    <xdr:colOff>0</xdr:colOff>
                    <xdr:row>1100</xdr:row>
                    <xdr:rowOff>133350</xdr:rowOff>
                  </to>
                </anchor>
              </controlPr>
            </control>
          </mc:Choice>
        </mc:AlternateContent>
        <mc:AlternateContent xmlns:mc="http://schemas.openxmlformats.org/markup-compatibility/2006">
          <mc:Choice Requires="x14">
            <control shapeId="1658" r:id="rId637" name="Button 634">
              <controlPr defaultSize="0" autoFill="0" autoLine="0" autoPict="0" macro="[1]!Sheet1.deleteRow">
                <anchor moveWithCells="1" sizeWithCells="1">
                  <from>
                    <xdr:col>6</xdr:col>
                    <xdr:colOff>0</xdr:colOff>
                    <xdr:row>1101</xdr:row>
                    <xdr:rowOff>0</xdr:rowOff>
                  </from>
                  <to>
                    <xdr:col>7</xdr:col>
                    <xdr:colOff>0</xdr:colOff>
                    <xdr:row>1101</xdr:row>
                    <xdr:rowOff>133350</xdr:rowOff>
                  </to>
                </anchor>
              </controlPr>
            </control>
          </mc:Choice>
        </mc:AlternateContent>
        <mc:AlternateContent xmlns:mc="http://schemas.openxmlformats.org/markup-compatibility/2006">
          <mc:Choice Requires="x14">
            <control shapeId="1659" r:id="rId638" name="Button 635">
              <controlPr defaultSize="0" autoFill="0" autoLine="0" autoPict="0" macro="[1]!Sheet1.deleteRow">
                <anchor moveWithCells="1" sizeWithCells="1">
                  <from>
                    <xdr:col>6</xdr:col>
                    <xdr:colOff>0</xdr:colOff>
                    <xdr:row>1102</xdr:row>
                    <xdr:rowOff>0</xdr:rowOff>
                  </from>
                  <to>
                    <xdr:col>7</xdr:col>
                    <xdr:colOff>0</xdr:colOff>
                    <xdr:row>1102</xdr:row>
                    <xdr:rowOff>133350</xdr:rowOff>
                  </to>
                </anchor>
              </controlPr>
            </control>
          </mc:Choice>
        </mc:AlternateContent>
        <mc:AlternateContent xmlns:mc="http://schemas.openxmlformats.org/markup-compatibility/2006">
          <mc:Choice Requires="x14">
            <control shapeId="1660" r:id="rId639" name="Button 636">
              <controlPr defaultSize="0" autoFill="0" autoLine="0" autoPict="0" macro="[1]!Sheet1.deleteRow">
                <anchor moveWithCells="1" sizeWithCells="1">
                  <from>
                    <xdr:col>6</xdr:col>
                    <xdr:colOff>0</xdr:colOff>
                    <xdr:row>1103</xdr:row>
                    <xdr:rowOff>0</xdr:rowOff>
                  </from>
                  <to>
                    <xdr:col>7</xdr:col>
                    <xdr:colOff>0</xdr:colOff>
                    <xdr:row>1103</xdr:row>
                    <xdr:rowOff>133350</xdr:rowOff>
                  </to>
                </anchor>
              </controlPr>
            </control>
          </mc:Choice>
        </mc:AlternateContent>
        <mc:AlternateContent xmlns:mc="http://schemas.openxmlformats.org/markup-compatibility/2006">
          <mc:Choice Requires="x14">
            <control shapeId="1661" r:id="rId640" name="Button 637">
              <controlPr defaultSize="0" autoFill="0" autoLine="0" autoPict="0" macro="[1]!Sheet1.deleteRow">
                <anchor moveWithCells="1" sizeWithCells="1">
                  <from>
                    <xdr:col>6</xdr:col>
                    <xdr:colOff>0</xdr:colOff>
                    <xdr:row>1104</xdr:row>
                    <xdr:rowOff>0</xdr:rowOff>
                  </from>
                  <to>
                    <xdr:col>7</xdr:col>
                    <xdr:colOff>0</xdr:colOff>
                    <xdr:row>1104</xdr:row>
                    <xdr:rowOff>133350</xdr:rowOff>
                  </to>
                </anchor>
              </controlPr>
            </control>
          </mc:Choice>
        </mc:AlternateContent>
        <mc:AlternateContent xmlns:mc="http://schemas.openxmlformats.org/markup-compatibility/2006">
          <mc:Choice Requires="x14">
            <control shapeId="1662" r:id="rId641" name="Button 638">
              <controlPr defaultSize="0" autoFill="0" autoLine="0" autoPict="0" macro="[1]!Sheet1.deleteRow">
                <anchor moveWithCells="1" sizeWithCells="1">
                  <from>
                    <xdr:col>6</xdr:col>
                    <xdr:colOff>0</xdr:colOff>
                    <xdr:row>1105</xdr:row>
                    <xdr:rowOff>0</xdr:rowOff>
                  </from>
                  <to>
                    <xdr:col>7</xdr:col>
                    <xdr:colOff>0</xdr:colOff>
                    <xdr:row>1105</xdr:row>
                    <xdr:rowOff>133350</xdr:rowOff>
                  </to>
                </anchor>
              </controlPr>
            </control>
          </mc:Choice>
        </mc:AlternateContent>
        <mc:AlternateContent xmlns:mc="http://schemas.openxmlformats.org/markup-compatibility/2006">
          <mc:Choice Requires="x14">
            <control shapeId="1663" r:id="rId642" name="Button 639">
              <controlPr defaultSize="0" autoFill="0" autoLine="0" autoPict="0" macro="[1]!Sheet1.deleteRow">
                <anchor moveWithCells="1" sizeWithCells="1">
                  <from>
                    <xdr:col>6</xdr:col>
                    <xdr:colOff>0</xdr:colOff>
                    <xdr:row>1106</xdr:row>
                    <xdr:rowOff>0</xdr:rowOff>
                  </from>
                  <to>
                    <xdr:col>7</xdr:col>
                    <xdr:colOff>0</xdr:colOff>
                    <xdr:row>1106</xdr:row>
                    <xdr:rowOff>133350</xdr:rowOff>
                  </to>
                </anchor>
              </controlPr>
            </control>
          </mc:Choice>
        </mc:AlternateContent>
        <mc:AlternateContent xmlns:mc="http://schemas.openxmlformats.org/markup-compatibility/2006">
          <mc:Choice Requires="x14">
            <control shapeId="1664" r:id="rId643" name="Button 640">
              <controlPr defaultSize="0" autoFill="0" autoLine="0" autoPict="0" macro="[1]!Sheet1.deleteRow">
                <anchor moveWithCells="1" sizeWithCells="1">
                  <from>
                    <xdr:col>6</xdr:col>
                    <xdr:colOff>0</xdr:colOff>
                    <xdr:row>1107</xdr:row>
                    <xdr:rowOff>0</xdr:rowOff>
                  </from>
                  <to>
                    <xdr:col>7</xdr:col>
                    <xdr:colOff>0</xdr:colOff>
                    <xdr:row>1107</xdr:row>
                    <xdr:rowOff>133350</xdr:rowOff>
                  </to>
                </anchor>
              </controlPr>
            </control>
          </mc:Choice>
        </mc:AlternateContent>
        <mc:AlternateContent xmlns:mc="http://schemas.openxmlformats.org/markup-compatibility/2006">
          <mc:Choice Requires="x14">
            <control shapeId="1665" r:id="rId644" name="Button 641">
              <controlPr defaultSize="0" autoFill="0" autoLine="0" autoPict="0" macro="[1]!Sheet1.deleteRow">
                <anchor moveWithCells="1" sizeWithCells="1">
                  <from>
                    <xdr:col>6</xdr:col>
                    <xdr:colOff>0</xdr:colOff>
                    <xdr:row>1108</xdr:row>
                    <xdr:rowOff>0</xdr:rowOff>
                  </from>
                  <to>
                    <xdr:col>7</xdr:col>
                    <xdr:colOff>0</xdr:colOff>
                    <xdr:row>1108</xdr:row>
                    <xdr:rowOff>133350</xdr:rowOff>
                  </to>
                </anchor>
              </controlPr>
            </control>
          </mc:Choice>
        </mc:AlternateContent>
        <mc:AlternateContent xmlns:mc="http://schemas.openxmlformats.org/markup-compatibility/2006">
          <mc:Choice Requires="x14">
            <control shapeId="1666" r:id="rId645" name="Button 642">
              <controlPr defaultSize="0" autoFill="0" autoLine="0" autoPict="0" macro="[1]!Sheet1.deleteRow">
                <anchor moveWithCells="1" sizeWithCells="1">
                  <from>
                    <xdr:col>6</xdr:col>
                    <xdr:colOff>0</xdr:colOff>
                    <xdr:row>1109</xdr:row>
                    <xdr:rowOff>0</xdr:rowOff>
                  </from>
                  <to>
                    <xdr:col>7</xdr:col>
                    <xdr:colOff>0</xdr:colOff>
                    <xdr:row>1109</xdr:row>
                    <xdr:rowOff>133350</xdr:rowOff>
                  </to>
                </anchor>
              </controlPr>
            </control>
          </mc:Choice>
        </mc:AlternateContent>
        <mc:AlternateContent xmlns:mc="http://schemas.openxmlformats.org/markup-compatibility/2006">
          <mc:Choice Requires="x14">
            <control shapeId="1667" r:id="rId646" name="Button 643">
              <controlPr defaultSize="0" autoFill="0" autoLine="0" autoPict="0" macro="[1]!Sheet1.deleteRow">
                <anchor moveWithCells="1" sizeWithCells="1">
                  <from>
                    <xdr:col>6</xdr:col>
                    <xdr:colOff>0</xdr:colOff>
                    <xdr:row>1110</xdr:row>
                    <xdr:rowOff>0</xdr:rowOff>
                  </from>
                  <to>
                    <xdr:col>7</xdr:col>
                    <xdr:colOff>0</xdr:colOff>
                    <xdr:row>1110</xdr:row>
                    <xdr:rowOff>133350</xdr:rowOff>
                  </to>
                </anchor>
              </controlPr>
            </control>
          </mc:Choice>
        </mc:AlternateContent>
        <mc:AlternateContent xmlns:mc="http://schemas.openxmlformats.org/markup-compatibility/2006">
          <mc:Choice Requires="x14">
            <control shapeId="1668" r:id="rId647" name="Button 644">
              <controlPr defaultSize="0" autoFill="0" autoLine="0" autoPict="0" macro="[1]!Sheet1.deleteRow">
                <anchor moveWithCells="1" sizeWithCells="1">
                  <from>
                    <xdr:col>6</xdr:col>
                    <xdr:colOff>0</xdr:colOff>
                    <xdr:row>1111</xdr:row>
                    <xdr:rowOff>0</xdr:rowOff>
                  </from>
                  <to>
                    <xdr:col>7</xdr:col>
                    <xdr:colOff>0</xdr:colOff>
                    <xdr:row>1111</xdr:row>
                    <xdr:rowOff>133350</xdr:rowOff>
                  </to>
                </anchor>
              </controlPr>
            </control>
          </mc:Choice>
        </mc:AlternateContent>
        <mc:AlternateContent xmlns:mc="http://schemas.openxmlformats.org/markup-compatibility/2006">
          <mc:Choice Requires="x14">
            <control shapeId="1669" r:id="rId648" name="Button 645">
              <controlPr defaultSize="0" autoFill="0" autoLine="0" autoPict="0" macro="[1]!Sheet1.deleteRow">
                <anchor moveWithCells="1" sizeWithCells="1">
                  <from>
                    <xdr:col>6</xdr:col>
                    <xdr:colOff>0</xdr:colOff>
                    <xdr:row>1112</xdr:row>
                    <xdr:rowOff>0</xdr:rowOff>
                  </from>
                  <to>
                    <xdr:col>7</xdr:col>
                    <xdr:colOff>0</xdr:colOff>
                    <xdr:row>1112</xdr:row>
                    <xdr:rowOff>133350</xdr:rowOff>
                  </to>
                </anchor>
              </controlPr>
            </control>
          </mc:Choice>
        </mc:AlternateContent>
        <mc:AlternateContent xmlns:mc="http://schemas.openxmlformats.org/markup-compatibility/2006">
          <mc:Choice Requires="x14">
            <control shapeId="1670" r:id="rId649" name="Button 646">
              <controlPr defaultSize="0" autoFill="0" autoLine="0" autoPict="0" macro="[1]!Sheet1.deleteRow">
                <anchor moveWithCells="1" sizeWithCells="1">
                  <from>
                    <xdr:col>6</xdr:col>
                    <xdr:colOff>0</xdr:colOff>
                    <xdr:row>1113</xdr:row>
                    <xdr:rowOff>0</xdr:rowOff>
                  </from>
                  <to>
                    <xdr:col>7</xdr:col>
                    <xdr:colOff>0</xdr:colOff>
                    <xdr:row>1113</xdr:row>
                    <xdr:rowOff>133350</xdr:rowOff>
                  </to>
                </anchor>
              </controlPr>
            </control>
          </mc:Choice>
        </mc:AlternateContent>
        <mc:AlternateContent xmlns:mc="http://schemas.openxmlformats.org/markup-compatibility/2006">
          <mc:Choice Requires="x14">
            <control shapeId="1671" r:id="rId650" name="Button 647">
              <controlPr defaultSize="0" autoFill="0" autoLine="0" autoPict="0" macro="[1]!Sheet1.deleteRow">
                <anchor moveWithCells="1" sizeWithCells="1">
                  <from>
                    <xdr:col>6</xdr:col>
                    <xdr:colOff>0</xdr:colOff>
                    <xdr:row>1114</xdr:row>
                    <xdr:rowOff>0</xdr:rowOff>
                  </from>
                  <to>
                    <xdr:col>7</xdr:col>
                    <xdr:colOff>0</xdr:colOff>
                    <xdr:row>1114</xdr:row>
                    <xdr:rowOff>133350</xdr:rowOff>
                  </to>
                </anchor>
              </controlPr>
            </control>
          </mc:Choice>
        </mc:AlternateContent>
        <mc:AlternateContent xmlns:mc="http://schemas.openxmlformats.org/markup-compatibility/2006">
          <mc:Choice Requires="x14">
            <control shapeId="1672" r:id="rId651" name="Button 648">
              <controlPr defaultSize="0" autoFill="0" autoLine="0" autoPict="0" macro="[1]!Sheet1.deleteRow">
                <anchor moveWithCells="1" sizeWithCells="1">
                  <from>
                    <xdr:col>6</xdr:col>
                    <xdr:colOff>0</xdr:colOff>
                    <xdr:row>1115</xdr:row>
                    <xdr:rowOff>0</xdr:rowOff>
                  </from>
                  <to>
                    <xdr:col>7</xdr:col>
                    <xdr:colOff>0</xdr:colOff>
                    <xdr:row>1115</xdr:row>
                    <xdr:rowOff>133350</xdr:rowOff>
                  </to>
                </anchor>
              </controlPr>
            </control>
          </mc:Choice>
        </mc:AlternateContent>
        <mc:AlternateContent xmlns:mc="http://schemas.openxmlformats.org/markup-compatibility/2006">
          <mc:Choice Requires="x14">
            <control shapeId="1673" r:id="rId652" name="Button 649">
              <controlPr defaultSize="0" autoFill="0" autoLine="0" autoPict="0" macro="[1]!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674" r:id="rId653" name="Button 650">
              <controlPr defaultSize="0" autoFill="0" autoLine="0" autoPict="0" macro="[1]!Sheet1.InsertNewTabl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675" r:id="rId654" name="Button 651">
              <controlPr defaultSize="0" autoFill="0" autoLine="0" autoPict="0" macro="[1]!Sheet1.deleteRow">
                <anchor moveWithCells="1" sizeWithCells="1">
                  <from>
                    <xdr:col>6</xdr:col>
                    <xdr:colOff>0</xdr:colOff>
                    <xdr:row>1126</xdr:row>
                    <xdr:rowOff>0</xdr:rowOff>
                  </from>
                  <to>
                    <xdr:col>7</xdr:col>
                    <xdr:colOff>0</xdr:colOff>
                    <xdr:row>1126</xdr:row>
                    <xdr:rowOff>133350</xdr:rowOff>
                  </to>
                </anchor>
              </controlPr>
            </control>
          </mc:Choice>
        </mc:AlternateContent>
        <mc:AlternateContent xmlns:mc="http://schemas.openxmlformats.org/markup-compatibility/2006">
          <mc:Choice Requires="x14">
            <control shapeId="1676" r:id="rId655" name="Button 652">
              <controlPr defaultSize="0" autoFill="0" autoLine="0" autoPict="0" macro="[1]!Sheet1.deleteRow">
                <anchor moveWithCells="1" sizeWithCells="1">
                  <from>
                    <xdr:col>6</xdr:col>
                    <xdr:colOff>0</xdr:colOff>
                    <xdr:row>1127</xdr:row>
                    <xdr:rowOff>0</xdr:rowOff>
                  </from>
                  <to>
                    <xdr:col>7</xdr:col>
                    <xdr:colOff>0</xdr:colOff>
                    <xdr:row>1127</xdr:row>
                    <xdr:rowOff>133350</xdr:rowOff>
                  </to>
                </anchor>
              </controlPr>
            </control>
          </mc:Choice>
        </mc:AlternateContent>
        <mc:AlternateContent xmlns:mc="http://schemas.openxmlformats.org/markup-compatibility/2006">
          <mc:Choice Requires="x14">
            <control shapeId="1677" r:id="rId656" name="Button 653">
              <controlPr defaultSize="0" autoFill="0" autoLine="0" autoPict="0" macro="[1]!Sheet1.deleteRow">
                <anchor moveWithCells="1" sizeWithCells="1">
                  <from>
                    <xdr:col>6</xdr:col>
                    <xdr:colOff>0</xdr:colOff>
                    <xdr:row>1128</xdr:row>
                    <xdr:rowOff>0</xdr:rowOff>
                  </from>
                  <to>
                    <xdr:col>7</xdr:col>
                    <xdr:colOff>0</xdr:colOff>
                    <xdr:row>1128</xdr:row>
                    <xdr:rowOff>133350</xdr:rowOff>
                  </to>
                </anchor>
              </controlPr>
            </control>
          </mc:Choice>
        </mc:AlternateContent>
        <mc:AlternateContent xmlns:mc="http://schemas.openxmlformats.org/markup-compatibility/2006">
          <mc:Choice Requires="x14">
            <control shapeId="1678" r:id="rId657" name="Button 654">
              <controlPr defaultSize="0" autoFill="0" autoLine="0" autoPict="0" macro="[1]!Sheet1.deleteRow">
                <anchor moveWithCells="1" sizeWithCells="1">
                  <from>
                    <xdr:col>6</xdr:col>
                    <xdr:colOff>0</xdr:colOff>
                    <xdr:row>1129</xdr:row>
                    <xdr:rowOff>0</xdr:rowOff>
                  </from>
                  <to>
                    <xdr:col>7</xdr:col>
                    <xdr:colOff>0</xdr:colOff>
                    <xdr:row>1129</xdr:row>
                    <xdr:rowOff>133350</xdr:rowOff>
                  </to>
                </anchor>
              </controlPr>
            </control>
          </mc:Choice>
        </mc:AlternateContent>
        <mc:AlternateContent xmlns:mc="http://schemas.openxmlformats.org/markup-compatibility/2006">
          <mc:Choice Requires="x14">
            <control shapeId="1679" r:id="rId658" name="Button 655">
              <controlPr defaultSize="0" autoFill="0" autoLine="0" autoPict="0" macro="[1]!Sheet1.deleteRow">
                <anchor moveWithCells="1" sizeWithCells="1">
                  <from>
                    <xdr:col>6</xdr:col>
                    <xdr:colOff>0</xdr:colOff>
                    <xdr:row>1130</xdr:row>
                    <xdr:rowOff>0</xdr:rowOff>
                  </from>
                  <to>
                    <xdr:col>7</xdr:col>
                    <xdr:colOff>0</xdr:colOff>
                    <xdr:row>1130</xdr:row>
                    <xdr:rowOff>133350</xdr:rowOff>
                  </to>
                </anchor>
              </controlPr>
            </control>
          </mc:Choice>
        </mc:AlternateContent>
        <mc:AlternateContent xmlns:mc="http://schemas.openxmlformats.org/markup-compatibility/2006">
          <mc:Choice Requires="x14">
            <control shapeId="1680" r:id="rId659" name="Button 656">
              <controlPr defaultSize="0" autoFill="0" autoLine="0" autoPict="0" macro="[1]!Sheet1.deleteRow">
                <anchor moveWithCells="1" sizeWithCells="1">
                  <from>
                    <xdr:col>6</xdr:col>
                    <xdr:colOff>0</xdr:colOff>
                    <xdr:row>1131</xdr:row>
                    <xdr:rowOff>0</xdr:rowOff>
                  </from>
                  <to>
                    <xdr:col>7</xdr:col>
                    <xdr:colOff>0</xdr:colOff>
                    <xdr:row>1131</xdr:row>
                    <xdr:rowOff>133350</xdr:rowOff>
                  </to>
                </anchor>
              </controlPr>
            </control>
          </mc:Choice>
        </mc:AlternateContent>
        <mc:AlternateContent xmlns:mc="http://schemas.openxmlformats.org/markup-compatibility/2006">
          <mc:Choice Requires="x14">
            <control shapeId="1681" r:id="rId660" name="Button 657">
              <controlPr defaultSize="0" autoFill="0" autoLine="0" autoPict="0" macro="[1]!Sheet1.deleteRow">
                <anchor moveWithCells="1" sizeWithCells="1">
                  <from>
                    <xdr:col>6</xdr:col>
                    <xdr:colOff>0</xdr:colOff>
                    <xdr:row>1132</xdr:row>
                    <xdr:rowOff>0</xdr:rowOff>
                  </from>
                  <to>
                    <xdr:col>7</xdr:col>
                    <xdr:colOff>0</xdr:colOff>
                    <xdr:row>1132</xdr:row>
                    <xdr:rowOff>133350</xdr:rowOff>
                  </to>
                </anchor>
              </controlPr>
            </control>
          </mc:Choice>
        </mc:AlternateContent>
        <mc:AlternateContent xmlns:mc="http://schemas.openxmlformats.org/markup-compatibility/2006">
          <mc:Choice Requires="x14">
            <control shapeId="1682" r:id="rId661" name="Button 658">
              <controlPr defaultSize="0" autoFill="0" autoLine="0" autoPict="0" macro="[1]!Sheet1.deleteRow">
                <anchor moveWithCells="1" sizeWithCells="1">
                  <from>
                    <xdr:col>6</xdr:col>
                    <xdr:colOff>0</xdr:colOff>
                    <xdr:row>1133</xdr:row>
                    <xdr:rowOff>0</xdr:rowOff>
                  </from>
                  <to>
                    <xdr:col>7</xdr:col>
                    <xdr:colOff>0</xdr:colOff>
                    <xdr:row>1133</xdr:row>
                    <xdr:rowOff>133350</xdr:rowOff>
                  </to>
                </anchor>
              </controlPr>
            </control>
          </mc:Choice>
        </mc:AlternateContent>
        <mc:AlternateContent xmlns:mc="http://schemas.openxmlformats.org/markup-compatibility/2006">
          <mc:Choice Requires="x14">
            <control shapeId="1683" r:id="rId662" name="Button 659">
              <controlPr defaultSize="0" autoFill="0" autoLine="0" autoPict="0" macro="[1]!Sheet1.deleteRow">
                <anchor moveWithCells="1" sizeWithCells="1">
                  <from>
                    <xdr:col>6</xdr:col>
                    <xdr:colOff>0</xdr:colOff>
                    <xdr:row>1134</xdr:row>
                    <xdr:rowOff>0</xdr:rowOff>
                  </from>
                  <to>
                    <xdr:col>7</xdr:col>
                    <xdr:colOff>0</xdr:colOff>
                    <xdr:row>1134</xdr:row>
                    <xdr:rowOff>133350</xdr:rowOff>
                  </to>
                </anchor>
              </controlPr>
            </control>
          </mc:Choice>
        </mc:AlternateContent>
        <mc:AlternateContent xmlns:mc="http://schemas.openxmlformats.org/markup-compatibility/2006">
          <mc:Choice Requires="x14">
            <control shapeId="1684" r:id="rId663" name="Button 660">
              <controlPr defaultSize="0" autoFill="0" autoLine="0" autoPict="0" macro="[1]!Sheet1.deleteRow">
                <anchor moveWithCells="1" sizeWithCells="1">
                  <from>
                    <xdr:col>6</xdr:col>
                    <xdr:colOff>0</xdr:colOff>
                    <xdr:row>1135</xdr:row>
                    <xdr:rowOff>0</xdr:rowOff>
                  </from>
                  <to>
                    <xdr:col>7</xdr:col>
                    <xdr:colOff>0</xdr:colOff>
                    <xdr:row>1135</xdr:row>
                    <xdr:rowOff>133350</xdr:rowOff>
                  </to>
                </anchor>
              </controlPr>
            </control>
          </mc:Choice>
        </mc:AlternateContent>
        <mc:AlternateContent xmlns:mc="http://schemas.openxmlformats.org/markup-compatibility/2006">
          <mc:Choice Requires="x14">
            <control shapeId="1685" r:id="rId664" name="Button 661">
              <controlPr defaultSize="0" autoFill="0" autoLine="0" autoPict="0" macro="[1]!Sheet1.deleteRow">
                <anchor moveWithCells="1" sizeWithCells="1">
                  <from>
                    <xdr:col>6</xdr:col>
                    <xdr:colOff>0</xdr:colOff>
                    <xdr:row>1136</xdr:row>
                    <xdr:rowOff>0</xdr:rowOff>
                  </from>
                  <to>
                    <xdr:col>7</xdr:col>
                    <xdr:colOff>0</xdr:colOff>
                    <xdr:row>1136</xdr:row>
                    <xdr:rowOff>133350</xdr:rowOff>
                  </to>
                </anchor>
              </controlPr>
            </control>
          </mc:Choice>
        </mc:AlternateContent>
        <mc:AlternateContent xmlns:mc="http://schemas.openxmlformats.org/markup-compatibility/2006">
          <mc:Choice Requires="x14">
            <control shapeId="1686" r:id="rId665" name="Button 662">
              <controlPr defaultSize="0" autoFill="0" autoLine="0" autoPict="0" macro="[1]!Sheet1.deleteRow">
                <anchor moveWithCells="1" sizeWithCells="1">
                  <from>
                    <xdr:col>6</xdr:col>
                    <xdr:colOff>0</xdr:colOff>
                    <xdr:row>1137</xdr:row>
                    <xdr:rowOff>0</xdr:rowOff>
                  </from>
                  <to>
                    <xdr:col>7</xdr:col>
                    <xdr:colOff>0</xdr:colOff>
                    <xdr:row>1137</xdr:row>
                    <xdr:rowOff>133350</xdr:rowOff>
                  </to>
                </anchor>
              </controlPr>
            </control>
          </mc:Choice>
        </mc:AlternateContent>
        <mc:AlternateContent xmlns:mc="http://schemas.openxmlformats.org/markup-compatibility/2006">
          <mc:Choice Requires="x14">
            <control shapeId="1687" r:id="rId666" name="Button 663">
              <controlPr defaultSize="0" autoFill="0" autoLine="0" autoPict="0" macro="[1]!Sheet1.deleteRow">
                <anchor moveWithCells="1" sizeWithCells="1">
                  <from>
                    <xdr:col>6</xdr:col>
                    <xdr:colOff>0</xdr:colOff>
                    <xdr:row>1138</xdr:row>
                    <xdr:rowOff>0</xdr:rowOff>
                  </from>
                  <to>
                    <xdr:col>7</xdr:col>
                    <xdr:colOff>0</xdr:colOff>
                    <xdr:row>1138</xdr:row>
                    <xdr:rowOff>133350</xdr:rowOff>
                  </to>
                </anchor>
              </controlPr>
            </control>
          </mc:Choice>
        </mc:AlternateContent>
        <mc:AlternateContent xmlns:mc="http://schemas.openxmlformats.org/markup-compatibility/2006">
          <mc:Choice Requires="x14">
            <control shapeId="1688" r:id="rId667" name="Button 664">
              <controlPr defaultSize="0" autoFill="0" autoLine="0" autoPict="0" macro="[1]!Sheet1.deleteRow">
                <anchor moveWithCells="1" sizeWithCells="1">
                  <from>
                    <xdr:col>6</xdr:col>
                    <xdr:colOff>0</xdr:colOff>
                    <xdr:row>1139</xdr:row>
                    <xdr:rowOff>0</xdr:rowOff>
                  </from>
                  <to>
                    <xdr:col>7</xdr:col>
                    <xdr:colOff>0</xdr:colOff>
                    <xdr:row>1139</xdr:row>
                    <xdr:rowOff>133350</xdr:rowOff>
                  </to>
                </anchor>
              </controlPr>
            </control>
          </mc:Choice>
        </mc:AlternateContent>
        <mc:AlternateContent xmlns:mc="http://schemas.openxmlformats.org/markup-compatibility/2006">
          <mc:Choice Requires="x14">
            <control shapeId="1689" r:id="rId668" name="Button 665">
              <controlPr defaultSize="0" autoFill="0" autoLine="0" autoPict="0" macro="[1]!Sheet1.deleteRow">
                <anchor moveWithCells="1" sizeWithCells="1">
                  <from>
                    <xdr:col>6</xdr:col>
                    <xdr:colOff>0</xdr:colOff>
                    <xdr:row>1140</xdr:row>
                    <xdr:rowOff>0</xdr:rowOff>
                  </from>
                  <to>
                    <xdr:col>7</xdr:col>
                    <xdr:colOff>0</xdr:colOff>
                    <xdr:row>1140</xdr:row>
                    <xdr:rowOff>133350</xdr:rowOff>
                  </to>
                </anchor>
              </controlPr>
            </control>
          </mc:Choice>
        </mc:AlternateContent>
        <mc:AlternateContent xmlns:mc="http://schemas.openxmlformats.org/markup-compatibility/2006">
          <mc:Choice Requires="x14">
            <control shapeId="1690" r:id="rId669" name="Button 666">
              <controlPr defaultSize="0" autoFill="0" autoLine="0" autoPict="0" macro="[1]!Sheet1.deleteRow">
                <anchor moveWithCells="1" sizeWithCells="1">
                  <from>
                    <xdr:col>6</xdr:col>
                    <xdr:colOff>0</xdr:colOff>
                    <xdr:row>1141</xdr:row>
                    <xdr:rowOff>0</xdr:rowOff>
                  </from>
                  <to>
                    <xdr:col>7</xdr:col>
                    <xdr:colOff>0</xdr:colOff>
                    <xdr:row>1141</xdr:row>
                    <xdr:rowOff>133350</xdr:rowOff>
                  </to>
                </anchor>
              </controlPr>
            </control>
          </mc:Choice>
        </mc:AlternateContent>
        <mc:AlternateContent xmlns:mc="http://schemas.openxmlformats.org/markup-compatibility/2006">
          <mc:Choice Requires="x14">
            <control shapeId="1691" r:id="rId670" name="Button 667">
              <controlPr defaultSize="0" autoFill="0" autoLine="0" autoPict="0" macro="[1]!Sheet1.deleteRow">
                <anchor moveWithCells="1" sizeWithCells="1">
                  <from>
                    <xdr:col>6</xdr:col>
                    <xdr:colOff>0</xdr:colOff>
                    <xdr:row>1142</xdr:row>
                    <xdr:rowOff>0</xdr:rowOff>
                  </from>
                  <to>
                    <xdr:col>7</xdr:col>
                    <xdr:colOff>0</xdr:colOff>
                    <xdr:row>1142</xdr:row>
                    <xdr:rowOff>133350</xdr:rowOff>
                  </to>
                </anchor>
              </controlPr>
            </control>
          </mc:Choice>
        </mc:AlternateContent>
        <mc:AlternateContent xmlns:mc="http://schemas.openxmlformats.org/markup-compatibility/2006">
          <mc:Choice Requires="x14">
            <control shapeId="1692" r:id="rId671" name="Button 668">
              <controlPr defaultSize="0" autoFill="0" autoLine="0" autoPict="0" macro="[1]!Sheet1.deleteRow">
                <anchor moveWithCells="1" sizeWithCells="1">
                  <from>
                    <xdr:col>6</xdr:col>
                    <xdr:colOff>0</xdr:colOff>
                    <xdr:row>1143</xdr:row>
                    <xdr:rowOff>0</xdr:rowOff>
                  </from>
                  <to>
                    <xdr:col>7</xdr:col>
                    <xdr:colOff>0</xdr:colOff>
                    <xdr:row>1143</xdr:row>
                    <xdr:rowOff>133350</xdr:rowOff>
                  </to>
                </anchor>
              </controlPr>
            </control>
          </mc:Choice>
        </mc:AlternateContent>
        <mc:AlternateContent xmlns:mc="http://schemas.openxmlformats.org/markup-compatibility/2006">
          <mc:Choice Requires="x14">
            <control shapeId="1693" r:id="rId672" name="Button 669">
              <controlPr defaultSize="0" autoFill="0" autoLine="0" autoPict="0" macro="[1]!Sheet1.deleteRow">
                <anchor moveWithCells="1" sizeWithCells="1">
                  <from>
                    <xdr:col>6</xdr:col>
                    <xdr:colOff>0</xdr:colOff>
                    <xdr:row>1144</xdr:row>
                    <xdr:rowOff>0</xdr:rowOff>
                  </from>
                  <to>
                    <xdr:col>7</xdr:col>
                    <xdr:colOff>0</xdr:colOff>
                    <xdr:row>1144</xdr:row>
                    <xdr:rowOff>133350</xdr:rowOff>
                  </to>
                </anchor>
              </controlPr>
            </control>
          </mc:Choice>
        </mc:AlternateContent>
        <mc:AlternateContent xmlns:mc="http://schemas.openxmlformats.org/markup-compatibility/2006">
          <mc:Choice Requires="x14">
            <control shapeId="1694" r:id="rId673" name="Button 670">
              <controlPr defaultSize="0" autoFill="0" autoLine="0" autoPict="0" macro="[1]!Sheet1.deleteRow">
                <anchor moveWithCells="1" sizeWithCells="1">
                  <from>
                    <xdr:col>6</xdr:col>
                    <xdr:colOff>0</xdr:colOff>
                    <xdr:row>1145</xdr:row>
                    <xdr:rowOff>0</xdr:rowOff>
                  </from>
                  <to>
                    <xdr:col>7</xdr:col>
                    <xdr:colOff>0</xdr:colOff>
                    <xdr:row>1145</xdr:row>
                    <xdr:rowOff>133350</xdr:rowOff>
                  </to>
                </anchor>
              </controlPr>
            </control>
          </mc:Choice>
        </mc:AlternateContent>
        <mc:AlternateContent xmlns:mc="http://schemas.openxmlformats.org/markup-compatibility/2006">
          <mc:Choice Requires="x14">
            <control shapeId="1695" r:id="rId674" name="Button 671">
              <controlPr defaultSize="0" autoFill="0" autoLine="0" autoPict="0" macro="[1]!Sheet1.deleteRow">
                <anchor moveWithCells="1" sizeWithCells="1">
                  <from>
                    <xdr:col>6</xdr:col>
                    <xdr:colOff>0</xdr:colOff>
                    <xdr:row>1146</xdr:row>
                    <xdr:rowOff>0</xdr:rowOff>
                  </from>
                  <to>
                    <xdr:col>7</xdr:col>
                    <xdr:colOff>0</xdr:colOff>
                    <xdr:row>1146</xdr:row>
                    <xdr:rowOff>133350</xdr:rowOff>
                  </to>
                </anchor>
              </controlPr>
            </control>
          </mc:Choice>
        </mc:AlternateContent>
        <mc:AlternateContent xmlns:mc="http://schemas.openxmlformats.org/markup-compatibility/2006">
          <mc:Choice Requires="x14">
            <control shapeId="1696" r:id="rId675" name="Button 672">
              <controlPr defaultSize="0" autoFill="0" autoLine="0" autoPict="0" macro="[1]!Sheet1.deleteRow">
                <anchor moveWithCells="1" sizeWithCells="1">
                  <from>
                    <xdr:col>6</xdr:col>
                    <xdr:colOff>0</xdr:colOff>
                    <xdr:row>1147</xdr:row>
                    <xdr:rowOff>0</xdr:rowOff>
                  </from>
                  <to>
                    <xdr:col>7</xdr:col>
                    <xdr:colOff>0</xdr:colOff>
                    <xdr:row>1147</xdr:row>
                    <xdr:rowOff>133350</xdr:rowOff>
                  </to>
                </anchor>
              </controlPr>
            </control>
          </mc:Choice>
        </mc:AlternateContent>
        <mc:AlternateContent xmlns:mc="http://schemas.openxmlformats.org/markup-compatibility/2006">
          <mc:Choice Requires="x14">
            <control shapeId="1697" r:id="rId676" name="Button 673">
              <controlPr defaultSize="0" autoFill="0" autoLine="0" autoPict="0" macro="[1]!Sheet1.deleteRow">
                <anchor moveWithCells="1" sizeWithCells="1">
                  <from>
                    <xdr:col>6</xdr:col>
                    <xdr:colOff>0</xdr:colOff>
                    <xdr:row>1148</xdr:row>
                    <xdr:rowOff>0</xdr:rowOff>
                  </from>
                  <to>
                    <xdr:col>7</xdr:col>
                    <xdr:colOff>0</xdr:colOff>
                    <xdr:row>1148</xdr:row>
                    <xdr:rowOff>133350</xdr:rowOff>
                  </to>
                </anchor>
              </controlPr>
            </control>
          </mc:Choice>
        </mc:AlternateContent>
        <mc:AlternateContent xmlns:mc="http://schemas.openxmlformats.org/markup-compatibility/2006">
          <mc:Choice Requires="x14">
            <control shapeId="1698" r:id="rId677" name="Button 674">
              <controlPr defaultSize="0" autoFill="0" autoLine="0" autoPict="0" macro="[1]!Sheet1.deleteRow">
                <anchor moveWithCells="1" sizeWithCells="1">
                  <from>
                    <xdr:col>6</xdr:col>
                    <xdr:colOff>0</xdr:colOff>
                    <xdr:row>1149</xdr:row>
                    <xdr:rowOff>0</xdr:rowOff>
                  </from>
                  <to>
                    <xdr:col>7</xdr:col>
                    <xdr:colOff>0</xdr:colOff>
                    <xdr:row>1149</xdr:row>
                    <xdr:rowOff>133350</xdr:rowOff>
                  </to>
                </anchor>
              </controlPr>
            </control>
          </mc:Choice>
        </mc:AlternateContent>
        <mc:AlternateContent xmlns:mc="http://schemas.openxmlformats.org/markup-compatibility/2006">
          <mc:Choice Requires="x14">
            <control shapeId="1699" r:id="rId678" name="Button 675">
              <controlPr defaultSize="0" autoFill="0" autoLine="0" autoPict="0" macro="[1]!Sheet1.deleteRow">
                <anchor moveWithCells="1" sizeWithCells="1">
                  <from>
                    <xdr:col>6</xdr:col>
                    <xdr:colOff>0</xdr:colOff>
                    <xdr:row>1150</xdr:row>
                    <xdr:rowOff>0</xdr:rowOff>
                  </from>
                  <to>
                    <xdr:col>7</xdr:col>
                    <xdr:colOff>0</xdr:colOff>
                    <xdr:row>1150</xdr:row>
                    <xdr:rowOff>133350</xdr:rowOff>
                  </to>
                </anchor>
              </controlPr>
            </control>
          </mc:Choice>
        </mc:AlternateContent>
        <mc:AlternateContent xmlns:mc="http://schemas.openxmlformats.org/markup-compatibility/2006">
          <mc:Choice Requires="x14">
            <control shapeId="1700" r:id="rId679" name="Button 676">
              <controlPr defaultSize="0" autoFill="0" autoLine="0" autoPict="0" macro="[1]!Sheet1.deleteRow">
                <anchor moveWithCells="1" sizeWithCells="1">
                  <from>
                    <xdr:col>6</xdr:col>
                    <xdr:colOff>0</xdr:colOff>
                    <xdr:row>1151</xdr:row>
                    <xdr:rowOff>0</xdr:rowOff>
                  </from>
                  <to>
                    <xdr:col>7</xdr:col>
                    <xdr:colOff>0</xdr:colOff>
                    <xdr:row>1151</xdr:row>
                    <xdr:rowOff>133350</xdr:rowOff>
                  </to>
                </anchor>
              </controlPr>
            </control>
          </mc:Choice>
        </mc:AlternateContent>
        <mc:AlternateContent xmlns:mc="http://schemas.openxmlformats.org/markup-compatibility/2006">
          <mc:Choice Requires="x14">
            <control shapeId="1701" r:id="rId680" name="Button 677">
              <controlPr defaultSize="0" autoFill="0" autoLine="0" autoPict="0" macro="[1]!Sheet1.deleteRow">
                <anchor moveWithCells="1" sizeWithCells="1">
                  <from>
                    <xdr:col>6</xdr:col>
                    <xdr:colOff>0</xdr:colOff>
                    <xdr:row>1152</xdr:row>
                    <xdr:rowOff>0</xdr:rowOff>
                  </from>
                  <to>
                    <xdr:col>7</xdr:col>
                    <xdr:colOff>0</xdr:colOff>
                    <xdr:row>1152</xdr:row>
                    <xdr:rowOff>133350</xdr:rowOff>
                  </to>
                </anchor>
              </controlPr>
            </control>
          </mc:Choice>
        </mc:AlternateContent>
        <mc:AlternateContent xmlns:mc="http://schemas.openxmlformats.org/markup-compatibility/2006">
          <mc:Choice Requires="x14">
            <control shapeId="1702" r:id="rId681" name="Button 678">
              <controlPr defaultSize="0" autoFill="0" autoLine="0" autoPict="0" macro="[1]!Sheet1.deleteRow">
                <anchor moveWithCells="1" sizeWithCells="1">
                  <from>
                    <xdr:col>6</xdr:col>
                    <xdr:colOff>0</xdr:colOff>
                    <xdr:row>1153</xdr:row>
                    <xdr:rowOff>0</xdr:rowOff>
                  </from>
                  <to>
                    <xdr:col>7</xdr:col>
                    <xdr:colOff>0</xdr:colOff>
                    <xdr:row>1153</xdr:row>
                    <xdr:rowOff>133350</xdr:rowOff>
                  </to>
                </anchor>
              </controlPr>
            </control>
          </mc:Choice>
        </mc:AlternateContent>
        <mc:AlternateContent xmlns:mc="http://schemas.openxmlformats.org/markup-compatibility/2006">
          <mc:Choice Requires="x14">
            <control shapeId="1703" r:id="rId682" name="Button 679">
              <controlPr defaultSize="0" autoFill="0" autoLine="0" autoPict="0" macro="[1]!Sheet1.deleteProcedure">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704" r:id="rId683" name="Button 680">
              <controlPr defaultSize="0" autoFill="0" autoLine="0" autoPict="0" macro="[1]!Sheet1.InsertNewTableRow">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705" r:id="rId684" name="Button 681">
              <controlPr defaultSize="0" autoFill="0" autoLine="0" autoPict="0" macro="[1]!Sheet1.deleteRow">
                <anchor moveWithCells="1" sizeWithCells="1">
                  <from>
                    <xdr:col>6</xdr:col>
                    <xdr:colOff>0</xdr:colOff>
                    <xdr:row>1164</xdr:row>
                    <xdr:rowOff>0</xdr:rowOff>
                  </from>
                  <to>
                    <xdr:col>7</xdr:col>
                    <xdr:colOff>0</xdr:colOff>
                    <xdr:row>1164</xdr:row>
                    <xdr:rowOff>133350</xdr:rowOff>
                  </to>
                </anchor>
              </controlPr>
            </control>
          </mc:Choice>
        </mc:AlternateContent>
        <mc:AlternateContent xmlns:mc="http://schemas.openxmlformats.org/markup-compatibility/2006">
          <mc:Choice Requires="x14">
            <control shapeId="1706" r:id="rId685" name="Button 682">
              <controlPr defaultSize="0" autoFill="0" autoLine="0" autoPict="0" macro="[1]!Sheet1.deleteRow">
                <anchor moveWithCells="1" sizeWithCells="1">
                  <from>
                    <xdr:col>6</xdr:col>
                    <xdr:colOff>0</xdr:colOff>
                    <xdr:row>1165</xdr:row>
                    <xdr:rowOff>0</xdr:rowOff>
                  </from>
                  <to>
                    <xdr:col>7</xdr:col>
                    <xdr:colOff>0</xdr:colOff>
                    <xdr:row>1165</xdr:row>
                    <xdr:rowOff>133350</xdr:rowOff>
                  </to>
                </anchor>
              </controlPr>
            </control>
          </mc:Choice>
        </mc:AlternateContent>
        <mc:AlternateContent xmlns:mc="http://schemas.openxmlformats.org/markup-compatibility/2006">
          <mc:Choice Requires="x14">
            <control shapeId="1707" r:id="rId686" name="Button 683">
              <controlPr defaultSize="0" autoFill="0" autoLine="0" autoPict="0" macro="[1]!Sheet1.deleteRow">
                <anchor moveWithCells="1" sizeWithCells="1">
                  <from>
                    <xdr:col>6</xdr:col>
                    <xdr:colOff>0</xdr:colOff>
                    <xdr:row>1166</xdr:row>
                    <xdr:rowOff>0</xdr:rowOff>
                  </from>
                  <to>
                    <xdr:col>7</xdr:col>
                    <xdr:colOff>0</xdr:colOff>
                    <xdr:row>1166</xdr:row>
                    <xdr:rowOff>133350</xdr:rowOff>
                  </to>
                </anchor>
              </controlPr>
            </control>
          </mc:Choice>
        </mc:AlternateContent>
        <mc:AlternateContent xmlns:mc="http://schemas.openxmlformats.org/markup-compatibility/2006">
          <mc:Choice Requires="x14">
            <control shapeId="1708" r:id="rId687" name="Button 684">
              <controlPr defaultSize="0" autoFill="0" autoLine="0" autoPict="0" macro="[1]!Sheet1.deleteRow">
                <anchor moveWithCells="1" sizeWithCells="1">
                  <from>
                    <xdr:col>6</xdr:col>
                    <xdr:colOff>0</xdr:colOff>
                    <xdr:row>1167</xdr:row>
                    <xdr:rowOff>0</xdr:rowOff>
                  </from>
                  <to>
                    <xdr:col>7</xdr:col>
                    <xdr:colOff>0</xdr:colOff>
                    <xdr:row>1167</xdr:row>
                    <xdr:rowOff>133350</xdr:rowOff>
                  </to>
                </anchor>
              </controlPr>
            </control>
          </mc:Choice>
        </mc:AlternateContent>
        <mc:AlternateContent xmlns:mc="http://schemas.openxmlformats.org/markup-compatibility/2006">
          <mc:Choice Requires="x14">
            <control shapeId="1709" r:id="rId688" name="Button 685">
              <controlPr defaultSize="0" autoFill="0" autoLine="0" autoPict="0" macro="[1]!Sheet1.deleteRow">
                <anchor moveWithCells="1" sizeWithCells="1">
                  <from>
                    <xdr:col>6</xdr:col>
                    <xdr:colOff>0</xdr:colOff>
                    <xdr:row>1168</xdr:row>
                    <xdr:rowOff>0</xdr:rowOff>
                  </from>
                  <to>
                    <xdr:col>7</xdr:col>
                    <xdr:colOff>0</xdr:colOff>
                    <xdr:row>1168</xdr:row>
                    <xdr:rowOff>133350</xdr:rowOff>
                  </to>
                </anchor>
              </controlPr>
            </control>
          </mc:Choice>
        </mc:AlternateContent>
        <mc:AlternateContent xmlns:mc="http://schemas.openxmlformats.org/markup-compatibility/2006">
          <mc:Choice Requires="x14">
            <control shapeId="1710" r:id="rId689" name="Button 686">
              <controlPr defaultSize="0" autoFill="0" autoLine="0" autoPict="0" macro="[1]!Sheet1.deleteRow">
                <anchor moveWithCells="1" sizeWithCells="1">
                  <from>
                    <xdr:col>6</xdr:col>
                    <xdr:colOff>0</xdr:colOff>
                    <xdr:row>1169</xdr:row>
                    <xdr:rowOff>0</xdr:rowOff>
                  </from>
                  <to>
                    <xdr:col>7</xdr:col>
                    <xdr:colOff>0</xdr:colOff>
                    <xdr:row>1169</xdr:row>
                    <xdr:rowOff>133350</xdr:rowOff>
                  </to>
                </anchor>
              </controlPr>
            </control>
          </mc:Choice>
        </mc:AlternateContent>
        <mc:AlternateContent xmlns:mc="http://schemas.openxmlformats.org/markup-compatibility/2006">
          <mc:Choice Requires="x14">
            <control shapeId="1711" r:id="rId690" name="Button 687">
              <controlPr defaultSize="0" autoFill="0" autoLine="0" autoPict="0" macro="[1]!Sheet1.deleteRow">
                <anchor moveWithCells="1" sizeWithCells="1">
                  <from>
                    <xdr:col>6</xdr:col>
                    <xdr:colOff>0</xdr:colOff>
                    <xdr:row>1170</xdr:row>
                    <xdr:rowOff>0</xdr:rowOff>
                  </from>
                  <to>
                    <xdr:col>7</xdr:col>
                    <xdr:colOff>0</xdr:colOff>
                    <xdr:row>1170</xdr:row>
                    <xdr:rowOff>133350</xdr:rowOff>
                  </to>
                </anchor>
              </controlPr>
            </control>
          </mc:Choice>
        </mc:AlternateContent>
        <mc:AlternateContent xmlns:mc="http://schemas.openxmlformats.org/markup-compatibility/2006">
          <mc:Choice Requires="x14">
            <control shapeId="1712" r:id="rId691" name="Button 688">
              <controlPr defaultSize="0" autoFill="0" autoLine="0" autoPict="0" macro="[1]!Sheet1.deleteRow">
                <anchor moveWithCells="1" sizeWithCells="1">
                  <from>
                    <xdr:col>6</xdr:col>
                    <xdr:colOff>0</xdr:colOff>
                    <xdr:row>1171</xdr:row>
                    <xdr:rowOff>0</xdr:rowOff>
                  </from>
                  <to>
                    <xdr:col>7</xdr:col>
                    <xdr:colOff>0</xdr:colOff>
                    <xdr:row>1171</xdr:row>
                    <xdr:rowOff>133350</xdr:rowOff>
                  </to>
                </anchor>
              </controlPr>
            </control>
          </mc:Choice>
        </mc:AlternateContent>
        <mc:AlternateContent xmlns:mc="http://schemas.openxmlformats.org/markup-compatibility/2006">
          <mc:Choice Requires="x14">
            <control shapeId="1713" r:id="rId692" name="Button 689">
              <controlPr defaultSize="0" autoFill="0" autoLine="0" autoPict="0" macro="[1]!Sheet1.deleteRow">
                <anchor moveWithCells="1" sizeWithCells="1">
                  <from>
                    <xdr:col>6</xdr:col>
                    <xdr:colOff>0</xdr:colOff>
                    <xdr:row>1172</xdr:row>
                    <xdr:rowOff>0</xdr:rowOff>
                  </from>
                  <to>
                    <xdr:col>7</xdr:col>
                    <xdr:colOff>0</xdr:colOff>
                    <xdr:row>1172</xdr:row>
                    <xdr:rowOff>133350</xdr:rowOff>
                  </to>
                </anchor>
              </controlPr>
            </control>
          </mc:Choice>
        </mc:AlternateContent>
        <mc:AlternateContent xmlns:mc="http://schemas.openxmlformats.org/markup-compatibility/2006">
          <mc:Choice Requires="x14">
            <control shapeId="1714" r:id="rId693" name="Button 690">
              <controlPr defaultSize="0" autoFill="0" autoLine="0" autoPict="0" macro="[1]!Sheet1.deleteRow">
                <anchor moveWithCells="1" sizeWithCells="1">
                  <from>
                    <xdr:col>6</xdr:col>
                    <xdr:colOff>0</xdr:colOff>
                    <xdr:row>1173</xdr:row>
                    <xdr:rowOff>0</xdr:rowOff>
                  </from>
                  <to>
                    <xdr:col>7</xdr:col>
                    <xdr:colOff>0</xdr:colOff>
                    <xdr:row>1173</xdr:row>
                    <xdr:rowOff>133350</xdr:rowOff>
                  </to>
                </anchor>
              </controlPr>
            </control>
          </mc:Choice>
        </mc:AlternateContent>
        <mc:AlternateContent xmlns:mc="http://schemas.openxmlformats.org/markup-compatibility/2006">
          <mc:Choice Requires="x14">
            <control shapeId="1715" r:id="rId694" name="Button 691">
              <controlPr defaultSize="0" autoFill="0" autoLine="0" autoPict="0" macro="[1]!Sheet1.deleteRow">
                <anchor moveWithCells="1" sizeWithCells="1">
                  <from>
                    <xdr:col>6</xdr:col>
                    <xdr:colOff>0</xdr:colOff>
                    <xdr:row>1174</xdr:row>
                    <xdr:rowOff>0</xdr:rowOff>
                  </from>
                  <to>
                    <xdr:col>7</xdr:col>
                    <xdr:colOff>0</xdr:colOff>
                    <xdr:row>1174</xdr:row>
                    <xdr:rowOff>133350</xdr:rowOff>
                  </to>
                </anchor>
              </controlPr>
            </control>
          </mc:Choice>
        </mc:AlternateContent>
        <mc:AlternateContent xmlns:mc="http://schemas.openxmlformats.org/markup-compatibility/2006">
          <mc:Choice Requires="x14">
            <control shapeId="1716" r:id="rId695" name="Button 692">
              <controlPr defaultSize="0" autoFill="0" autoLine="0" autoPict="0" macro="[1]!Sheet1.deleteRow">
                <anchor moveWithCells="1" sizeWithCells="1">
                  <from>
                    <xdr:col>6</xdr:col>
                    <xdr:colOff>0</xdr:colOff>
                    <xdr:row>1175</xdr:row>
                    <xdr:rowOff>0</xdr:rowOff>
                  </from>
                  <to>
                    <xdr:col>7</xdr:col>
                    <xdr:colOff>0</xdr:colOff>
                    <xdr:row>1175</xdr:row>
                    <xdr:rowOff>133350</xdr:rowOff>
                  </to>
                </anchor>
              </controlPr>
            </control>
          </mc:Choice>
        </mc:AlternateContent>
        <mc:AlternateContent xmlns:mc="http://schemas.openxmlformats.org/markup-compatibility/2006">
          <mc:Choice Requires="x14">
            <control shapeId="1717" r:id="rId696" name="Button 693">
              <controlPr defaultSize="0" autoFill="0" autoLine="0" autoPict="0" macro="[1]!Sheet1.deleteRow">
                <anchor moveWithCells="1" sizeWithCells="1">
                  <from>
                    <xdr:col>6</xdr:col>
                    <xdr:colOff>0</xdr:colOff>
                    <xdr:row>1176</xdr:row>
                    <xdr:rowOff>0</xdr:rowOff>
                  </from>
                  <to>
                    <xdr:col>7</xdr:col>
                    <xdr:colOff>0</xdr:colOff>
                    <xdr:row>1176</xdr:row>
                    <xdr:rowOff>133350</xdr:rowOff>
                  </to>
                </anchor>
              </controlPr>
            </control>
          </mc:Choice>
        </mc:AlternateContent>
        <mc:AlternateContent xmlns:mc="http://schemas.openxmlformats.org/markup-compatibility/2006">
          <mc:Choice Requires="x14">
            <control shapeId="1718" r:id="rId697" name="Button 694">
              <controlPr defaultSize="0" autoFill="0" autoLine="0" autoPict="0" macro="[1]!Sheet1.deleteRow">
                <anchor moveWithCells="1" sizeWithCells="1">
                  <from>
                    <xdr:col>6</xdr:col>
                    <xdr:colOff>0</xdr:colOff>
                    <xdr:row>1177</xdr:row>
                    <xdr:rowOff>0</xdr:rowOff>
                  </from>
                  <to>
                    <xdr:col>7</xdr:col>
                    <xdr:colOff>0</xdr:colOff>
                    <xdr:row>1177</xdr:row>
                    <xdr:rowOff>133350</xdr:rowOff>
                  </to>
                </anchor>
              </controlPr>
            </control>
          </mc:Choice>
        </mc:AlternateContent>
        <mc:AlternateContent xmlns:mc="http://schemas.openxmlformats.org/markup-compatibility/2006">
          <mc:Choice Requires="x14">
            <control shapeId="1719" r:id="rId698" name="Button 695">
              <controlPr defaultSize="0" autoFill="0" autoLine="0" autoPict="0" macro="[1]!Sheet1.deleteRow">
                <anchor moveWithCells="1" sizeWithCells="1">
                  <from>
                    <xdr:col>6</xdr:col>
                    <xdr:colOff>0</xdr:colOff>
                    <xdr:row>1178</xdr:row>
                    <xdr:rowOff>0</xdr:rowOff>
                  </from>
                  <to>
                    <xdr:col>7</xdr:col>
                    <xdr:colOff>0</xdr:colOff>
                    <xdr:row>1178</xdr:row>
                    <xdr:rowOff>133350</xdr:rowOff>
                  </to>
                </anchor>
              </controlPr>
            </control>
          </mc:Choice>
        </mc:AlternateContent>
        <mc:AlternateContent xmlns:mc="http://schemas.openxmlformats.org/markup-compatibility/2006">
          <mc:Choice Requires="x14">
            <control shapeId="1720" r:id="rId699" name="Button 696">
              <controlPr defaultSize="0" autoFill="0" autoLine="0" autoPict="0" macro="[1]!Sheet1.deleteRow">
                <anchor moveWithCells="1" sizeWithCells="1">
                  <from>
                    <xdr:col>6</xdr:col>
                    <xdr:colOff>0</xdr:colOff>
                    <xdr:row>1179</xdr:row>
                    <xdr:rowOff>0</xdr:rowOff>
                  </from>
                  <to>
                    <xdr:col>7</xdr:col>
                    <xdr:colOff>0</xdr:colOff>
                    <xdr:row>1179</xdr:row>
                    <xdr:rowOff>133350</xdr:rowOff>
                  </to>
                </anchor>
              </controlPr>
            </control>
          </mc:Choice>
        </mc:AlternateContent>
        <mc:AlternateContent xmlns:mc="http://schemas.openxmlformats.org/markup-compatibility/2006">
          <mc:Choice Requires="x14">
            <control shapeId="1721" r:id="rId700" name="Button 697">
              <controlPr defaultSize="0" autoFill="0" autoLine="0" autoPict="0" macro="[1]!Sheet1.deleteRow">
                <anchor moveWithCells="1" sizeWithCells="1">
                  <from>
                    <xdr:col>6</xdr:col>
                    <xdr:colOff>0</xdr:colOff>
                    <xdr:row>1180</xdr:row>
                    <xdr:rowOff>0</xdr:rowOff>
                  </from>
                  <to>
                    <xdr:col>7</xdr:col>
                    <xdr:colOff>0</xdr:colOff>
                    <xdr:row>1180</xdr:row>
                    <xdr:rowOff>133350</xdr:rowOff>
                  </to>
                </anchor>
              </controlPr>
            </control>
          </mc:Choice>
        </mc:AlternateContent>
        <mc:AlternateContent xmlns:mc="http://schemas.openxmlformats.org/markup-compatibility/2006">
          <mc:Choice Requires="x14">
            <control shapeId="1722" r:id="rId701" name="Button 698">
              <controlPr defaultSize="0" autoFill="0" autoLine="0" autoPict="0" macro="[1]!Sheet1.deleteRow">
                <anchor moveWithCells="1" sizeWithCells="1">
                  <from>
                    <xdr:col>6</xdr:col>
                    <xdr:colOff>0</xdr:colOff>
                    <xdr:row>1181</xdr:row>
                    <xdr:rowOff>0</xdr:rowOff>
                  </from>
                  <to>
                    <xdr:col>7</xdr:col>
                    <xdr:colOff>0</xdr:colOff>
                    <xdr:row>1181</xdr:row>
                    <xdr:rowOff>133350</xdr:rowOff>
                  </to>
                </anchor>
              </controlPr>
            </control>
          </mc:Choice>
        </mc:AlternateContent>
        <mc:AlternateContent xmlns:mc="http://schemas.openxmlformats.org/markup-compatibility/2006">
          <mc:Choice Requires="x14">
            <control shapeId="1723" r:id="rId702" name="Button 699">
              <controlPr defaultSize="0" autoFill="0" autoLine="0" autoPict="0" macro="[1]!Sheet1.deleteRow">
                <anchor moveWithCells="1" sizeWithCells="1">
                  <from>
                    <xdr:col>6</xdr:col>
                    <xdr:colOff>0</xdr:colOff>
                    <xdr:row>1182</xdr:row>
                    <xdr:rowOff>0</xdr:rowOff>
                  </from>
                  <to>
                    <xdr:col>7</xdr:col>
                    <xdr:colOff>0</xdr:colOff>
                    <xdr:row>1182</xdr:row>
                    <xdr:rowOff>133350</xdr:rowOff>
                  </to>
                </anchor>
              </controlPr>
            </control>
          </mc:Choice>
        </mc:AlternateContent>
        <mc:AlternateContent xmlns:mc="http://schemas.openxmlformats.org/markup-compatibility/2006">
          <mc:Choice Requires="x14">
            <control shapeId="1724" r:id="rId703" name="Button 700">
              <controlPr defaultSize="0" autoFill="0" autoLine="0" autoPict="0" macro="[1]!Sheet1.deleteRow">
                <anchor moveWithCells="1" sizeWithCells="1">
                  <from>
                    <xdr:col>6</xdr:col>
                    <xdr:colOff>0</xdr:colOff>
                    <xdr:row>1183</xdr:row>
                    <xdr:rowOff>0</xdr:rowOff>
                  </from>
                  <to>
                    <xdr:col>7</xdr:col>
                    <xdr:colOff>0</xdr:colOff>
                    <xdr:row>1183</xdr:row>
                    <xdr:rowOff>133350</xdr:rowOff>
                  </to>
                </anchor>
              </controlPr>
            </control>
          </mc:Choice>
        </mc:AlternateContent>
        <mc:AlternateContent xmlns:mc="http://schemas.openxmlformats.org/markup-compatibility/2006">
          <mc:Choice Requires="x14">
            <control shapeId="1725" r:id="rId704" name="Button 701">
              <controlPr defaultSize="0" autoFill="0" autoLine="0" autoPict="0" macro="[1]!Sheet1.deleteRow">
                <anchor moveWithCells="1" sizeWithCells="1">
                  <from>
                    <xdr:col>6</xdr:col>
                    <xdr:colOff>0</xdr:colOff>
                    <xdr:row>1184</xdr:row>
                    <xdr:rowOff>0</xdr:rowOff>
                  </from>
                  <to>
                    <xdr:col>7</xdr:col>
                    <xdr:colOff>0</xdr:colOff>
                    <xdr:row>1184</xdr:row>
                    <xdr:rowOff>133350</xdr:rowOff>
                  </to>
                </anchor>
              </controlPr>
            </control>
          </mc:Choice>
        </mc:AlternateContent>
        <mc:AlternateContent xmlns:mc="http://schemas.openxmlformats.org/markup-compatibility/2006">
          <mc:Choice Requires="x14">
            <control shapeId="1726" r:id="rId705" name="Button 702">
              <controlPr defaultSize="0" autoFill="0" autoLine="0" autoPict="0" macro="[1]!Sheet1.deleteRow">
                <anchor moveWithCells="1" sizeWithCells="1">
                  <from>
                    <xdr:col>6</xdr:col>
                    <xdr:colOff>0</xdr:colOff>
                    <xdr:row>1185</xdr:row>
                    <xdr:rowOff>0</xdr:rowOff>
                  </from>
                  <to>
                    <xdr:col>7</xdr:col>
                    <xdr:colOff>0</xdr:colOff>
                    <xdr:row>1185</xdr:row>
                    <xdr:rowOff>133350</xdr:rowOff>
                  </to>
                </anchor>
              </controlPr>
            </control>
          </mc:Choice>
        </mc:AlternateContent>
        <mc:AlternateContent xmlns:mc="http://schemas.openxmlformats.org/markup-compatibility/2006">
          <mc:Choice Requires="x14">
            <control shapeId="1727" r:id="rId706" name="Button 703">
              <controlPr defaultSize="0" autoFill="0" autoLine="0" autoPict="0" macro="[1]!Sheet1.deleteRow">
                <anchor moveWithCells="1" sizeWithCells="1">
                  <from>
                    <xdr:col>6</xdr:col>
                    <xdr:colOff>0</xdr:colOff>
                    <xdr:row>1186</xdr:row>
                    <xdr:rowOff>0</xdr:rowOff>
                  </from>
                  <to>
                    <xdr:col>7</xdr:col>
                    <xdr:colOff>0</xdr:colOff>
                    <xdr:row>1186</xdr:row>
                    <xdr:rowOff>133350</xdr:rowOff>
                  </to>
                </anchor>
              </controlPr>
            </control>
          </mc:Choice>
        </mc:AlternateContent>
        <mc:AlternateContent xmlns:mc="http://schemas.openxmlformats.org/markup-compatibility/2006">
          <mc:Choice Requires="x14">
            <control shapeId="1728" r:id="rId707" name="Button 704">
              <controlPr defaultSize="0" autoFill="0" autoLine="0" autoPict="0" macro="[1]!Sheet1.deleteRow">
                <anchor moveWithCells="1" sizeWithCells="1">
                  <from>
                    <xdr:col>6</xdr:col>
                    <xdr:colOff>0</xdr:colOff>
                    <xdr:row>1187</xdr:row>
                    <xdr:rowOff>0</xdr:rowOff>
                  </from>
                  <to>
                    <xdr:col>7</xdr:col>
                    <xdr:colOff>0</xdr:colOff>
                    <xdr:row>1187</xdr:row>
                    <xdr:rowOff>133350</xdr:rowOff>
                  </to>
                </anchor>
              </controlPr>
            </control>
          </mc:Choice>
        </mc:AlternateContent>
        <mc:AlternateContent xmlns:mc="http://schemas.openxmlformats.org/markup-compatibility/2006">
          <mc:Choice Requires="x14">
            <control shapeId="1729" r:id="rId708" name="Button 705">
              <controlPr defaultSize="0" autoFill="0" autoLine="0" autoPict="0" macro="[1]!Sheet1.deleteRow">
                <anchor moveWithCells="1" sizeWithCells="1">
                  <from>
                    <xdr:col>6</xdr:col>
                    <xdr:colOff>0</xdr:colOff>
                    <xdr:row>1188</xdr:row>
                    <xdr:rowOff>0</xdr:rowOff>
                  </from>
                  <to>
                    <xdr:col>7</xdr:col>
                    <xdr:colOff>0</xdr:colOff>
                    <xdr:row>1188</xdr:row>
                    <xdr:rowOff>133350</xdr:rowOff>
                  </to>
                </anchor>
              </controlPr>
            </control>
          </mc:Choice>
        </mc:AlternateContent>
        <mc:AlternateContent xmlns:mc="http://schemas.openxmlformats.org/markup-compatibility/2006">
          <mc:Choice Requires="x14">
            <control shapeId="1730" r:id="rId709" name="Button 706">
              <controlPr defaultSize="0" autoFill="0" autoLine="0" autoPict="0" macro="[1]!Sheet1.deleteRow">
                <anchor moveWithCells="1" sizeWithCells="1">
                  <from>
                    <xdr:col>6</xdr:col>
                    <xdr:colOff>0</xdr:colOff>
                    <xdr:row>1189</xdr:row>
                    <xdr:rowOff>0</xdr:rowOff>
                  </from>
                  <to>
                    <xdr:col>7</xdr:col>
                    <xdr:colOff>0</xdr:colOff>
                    <xdr:row>1189</xdr:row>
                    <xdr:rowOff>133350</xdr:rowOff>
                  </to>
                </anchor>
              </controlPr>
            </control>
          </mc:Choice>
        </mc:AlternateContent>
        <mc:AlternateContent xmlns:mc="http://schemas.openxmlformats.org/markup-compatibility/2006">
          <mc:Choice Requires="x14">
            <control shapeId="1731" r:id="rId710" name="Button 707">
              <controlPr defaultSize="0" autoFill="0" autoLine="0" autoPict="0" macro="[1]!Sheet1.deleteRow">
                <anchor moveWithCells="1" sizeWithCells="1">
                  <from>
                    <xdr:col>6</xdr:col>
                    <xdr:colOff>0</xdr:colOff>
                    <xdr:row>1190</xdr:row>
                    <xdr:rowOff>0</xdr:rowOff>
                  </from>
                  <to>
                    <xdr:col>7</xdr:col>
                    <xdr:colOff>0</xdr:colOff>
                    <xdr:row>1190</xdr:row>
                    <xdr:rowOff>133350</xdr:rowOff>
                  </to>
                </anchor>
              </controlPr>
            </control>
          </mc:Choice>
        </mc:AlternateContent>
        <mc:AlternateContent xmlns:mc="http://schemas.openxmlformats.org/markup-compatibility/2006">
          <mc:Choice Requires="x14">
            <control shapeId="1732" r:id="rId711" name="Button 708">
              <controlPr defaultSize="0" autoFill="0" autoLine="0" autoPict="0" macro="[1]!Sheet1.deleteRow">
                <anchor moveWithCells="1" sizeWithCells="1">
                  <from>
                    <xdr:col>6</xdr:col>
                    <xdr:colOff>0</xdr:colOff>
                    <xdr:row>1191</xdr:row>
                    <xdr:rowOff>0</xdr:rowOff>
                  </from>
                  <to>
                    <xdr:col>7</xdr:col>
                    <xdr:colOff>0</xdr:colOff>
                    <xdr:row>1191</xdr:row>
                    <xdr:rowOff>133350</xdr:rowOff>
                  </to>
                </anchor>
              </controlPr>
            </control>
          </mc:Choice>
        </mc:AlternateContent>
        <mc:AlternateContent xmlns:mc="http://schemas.openxmlformats.org/markup-compatibility/2006">
          <mc:Choice Requires="x14">
            <control shapeId="1733" r:id="rId712" name="Button 709">
              <controlPr defaultSize="0" autoFill="0" autoLine="0" autoPict="0" macro="[1]!Sheet1.deleteProcedure">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1734" r:id="rId713" name="Button 710">
              <controlPr defaultSize="0" autoFill="0" autoLine="0" autoPict="0" macro="[1]!Sheet1.InsertNewTabl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735" r:id="rId714" name="Button 711">
              <controlPr defaultSize="0" autoFill="0" autoLine="0" autoPict="0" macro="[1]!Sheet1.deleteRow">
                <anchor moveWithCells="1" sizeWithCells="1">
                  <from>
                    <xdr:col>6</xdr:col>
                    <xdr:colOff>0</xdr:colOff>
                    <xdr:row>1202</xdr:row>
                    <xdr:rowOff>0</xdr:rowOff>
                  </from>
                  <to>
                    <xdr:col>7</xdr:col>
                    <xdr:colOff>0</xdr:colOff>
                    <xdr:row>1202</xdr:row>
                    <xdr:rowOff>133350</xdr:rowOff>
                  </to>
                </anchor>
              </controlPr>
            </control>
          </mc:Choice>
        </mc:AlternateContent>
        <mc:AlternateContent xmlns:mc="http://schemas.openxmlformats.org/markup-compatibility/2006">
          <mc:Choice Requires="x14">
            <control shapeId="1736" r:id="rId715" name="Button 712">
              <controlPr defaultSize="0" autoFill="0" autoLine="0" autoPict="0" macro="[1]!Sheet1.deleteRow">
                <anchor moveWithCells="1" sizeWithCells="1">
                  <from>
                    <xdr:col>6</xdr:col>
                    <xdr:colOff>0</xdr:colOff>
                    <xdr:row>1203</xdr:row>
                    <xdr:rowOff>0</xdr:rowOff>
                  </from>
                  <to>
                    <xdr:col>7</xdr:col>
                    <xdr:colOff>0</xdr:colOff>
                    <xdr:row>1203</xdr:row>
                    <xdr:rowOff>133350</xdr:rowOff>
                  </to>
                </anchor>
              </controlPr>
            </control>
          </mc:Choice>
        </mc:AlternateContent>
        <mc:AlternateContent xmlns:mc="http://schemas.openxmlformats.org/markup-compatibility/2006">
          <mc:Choice Requires="x14">
            <control shapeId="1737" r:id="rId716" name="Button 713">
              <controlPr defaultSize="0" autoFill="0" autoLine="0" autoPict="0" macro="[1]!Sheet1.deleteRow">
                <anchor moveWithCells="1" sizeWithCells="1">
                  <from>
                    <xdr:col>6</xdr:col>
                    <xdr:colOff>0</xdr:colOff>
                    <xdr:row>1204</xdr:row>
                    <xdr:rowOff>0</xdr:rowOff>
                  </from>
                  <to>
                    <xdr:col>7</xdr:col>
                    <xdr:colOff>0</xdr:colOff>
                    <xdr:row>1204</xdr:row>
                    <xdr:rowOff>133350</xdr:rowOff>
                  </to>
                </anchor>
              </controlPr>
            </control>
          </mc:Choice>
        </mc:AlternateContent>
        <mc:AlternateContent xmlns:mc="http://schemas.openxmlformats.org/markup-compatibility/2006">
          <mc:Choice Requires="x14">
            <control shapeId="1738" r:id="rId717" name="Button 714">
              <controlPr defaultSize="0" autoFill="0" autoLine="0" autoPict="0" macro="[1]!Sheet1.deleteRow">
                <anchor moveWithCells="1" sizeWithCells="1">
                  <from>
                    <xdr:col>6</xdr:col>
                    <xdr:colOff>0</xdr:colOff>
                    <xdr:row>1205</xdr:row>
                    <xdr:rowOff>0</xdr:rowOff>
                  </from>
                  <to>
                    <xdr:col>7</xdr:col>
                    <xdr:colOff>0</xdr:colOff>
                    <xdr:row>1205</xdr:row>
                    <xdr:rowOff>133350</xdr:rowOff>
                  </to>
                </anchor>
              </controlPr>
            </control>
          </mc:Choice>
        </mc:AlternateContent>
        <mc:AlternateContent xmlns:mc="http://schemas.openxmlformats.org/markup-compatibility/2006">
          <mc:Choice Requires="x14">
            <control shapeId="1739" r:id="rId718" name="Button 715">
              <controlPr defaultSize="0" autoFill="0" autoLine="0" autoPict="0" macro="[1]!Sheet1.deleteRow">
                <anchor moveWithCells="1" sizeWithCells="1">
                  <from>
                    <xdr:col>6</xdr:col>
                    <xdr:colOff>0</xdr:colOff>
                    <xdr:row>1206</xdr:row>
                    <xdr:rowOff>0</xdr:rowOff>
                  </from>
                  <to>
                    <xdr:col>7</xdr:col>
                    <xdr:colOff>0</xdr:colOff>
                    <xdr:row>1206</xdr:row>
                    <xdr:rowOff>133350</xdr:rowOff>
                  </to>
                </anchor>
              </controlPr>
            </control>
          </mc:Choice>
        </mc:AlternateContent>
        <mc:AlternateContent xmlns:mc="http://schemas.openxmlformats.org/markup-compatibility/2006">
          <mc:Choice Requires="x14">
            <control shapeId="1740" r:id="rId719" name="Button 716">
              <controlPr defaultSize="0" autoFill="0" autoLine="0" autoPict="0" macro="[1]!Sheet1.deleteRow">
                <anchor moveWithCells="1" sizeWithCells="1">
                  <from>
                    <xdr:col>6</xdr:col>
                    <xdr:colOff>0</xdr:colOff>
                    <xdr:row>1207</xdr:row>
                    <xdr:rowOff>0</xdr:rowOff>
                  </from>
                  <to>
                    <xdr:col>7</xdr:col>
                    <xdr:colOff>0</xdr:colOff>
                    <xdr:row>1207</xdr:row>
                    <xdr:rowOff>133350</xdr:rowOff>
                  </to>
                </anchor>
              </controlPr>
            </control>
          </mc:Choice>
        </mc:AlternateContent>
        <mc:AlternateContent xmlns:mc="http://schemas.openxmlformats.org/markup-compatibility/2006">
          <mc:Choice Requires="x14">
            <control shapeId="1741" r:id="rId720" name="Button 717">
              <controlPr defaultSize="0" autoFill="0" autoLine="0" autoPict="0" macro="[1]!Sheet1.deleteRow">
                <anchor moveWithCells="1" sizeWithCells="1">
                  <from>
                    <xdr:col>6</xdr:col>
                    <xdr:colOff>0</xdr:colOff>
                    <xdr:row>1208</xdr:row>
                    <xdr:rowOff>0</xdr:rowOff>
                  </from>
                  <to>
                    <xdr:col>7</xdr:col>
                    <xdr:colOff>0</xdr:colOff>
                    <xdr:row>1208</xdr:row>
                    <xdr:rowOff>133350</xdr:rowOff>
                  </to>
                </anchor>
              </controlPr>
            </control>
          </mc:Choice>
        </mc:AlternateContent>
        <mc:AlternateContent xmlns:mc="http://schemas.openxmlformats.org/markup-compatibility/2006">
          <mc:Choice Requires="x14">
            <control shapeId="1742" r:id="rId721" name="Button 718">
              <controlPr defaultSize="0" autoFill="0" autoLine="0" autoPict="0" macro="[1]!Sheet1.deleteRow">
                <anchor moveWithCells="1" sizeWithCells="1">
                  <from>
                    <xdr:col>6</xdr:col>
                    <xdr:colOff>0</xdr:colOff>
                    <xdr:row>1209</xdr:row>
                    <xdr:rowOff>0</xdr:rowOff>
                  </from>
                  <to>
                    <xdr:col>7</xdr:col>
                    <xdr:colOff>0</xdr:colOff>
                    <xdr:row>1209</xdr:row>
                    <xdr:rowOff>133350</xdr:rowOff>
                  </to>
                </anchor>
              </controlPr>
            </control>
          </mc:Choice>
        </mc:AlternateContent>
        <mc:AlternateContent xmlns:mc="http://schemas.openxmlformats.org/markup-compatibility/2006">
          <mc:Choice Requires="x14">
            <control shapeId="1743" r:id="rId722" name="Button 719">
              <controlPr defaultSize="0" autoFill="0" autoLine="0" autoPict="0" macro="[1]!Sheet1.deleteRow">
                <anchor moveWithCells="1" sizeWithCells="1">
                  <from>
                    <xdr:col>6</xdr:col>
                    <xdr:colOff>0</xdr:colOff>
                    <xdr:row>1210</xdr:row>
                    <xdr:rowOff>0</xdr:rowOff>
                  </from>
                  <to>
                    <xdr:col>7</xdr:col>
                    <xdr:colOff>0</xdr:colOff>
                    <xdr:row>1210</xdr:row>
                    <xdr:rowOff>133350</xdr:rowOff>
                  </to>
                </anchor>
              </controlPr>
            </control>
          </mc:Choice>
        </mc:AlternateContent>
        <mc:AlternateContent xmlns:mc="http://schemas.openxmlformats.org/markup-compatibility/2006">
          <mc:Choice Requires="x14">
            <control shapeId="1744" r:id="rId723" name="Button 720">
              <controlPr defaultSize="0" autoFill="0" autoLine="0" autoPict="0" macro="[1]!Sheet1.deleteRow">
                <anchor moveWithCells="1" sizeWithCells="1">
                  <from>
                    <xdr:col>6</xdr:col>
                    <xdr:colOff>0</xdr:colOff>
                    <xdr:row>1211</xdr:row>
                    <xdr:rowOff>0</xdr:rowOff>
                  </from>
                  <to>
                    <xdr:col>7</xdr:col>
                    <xdr:colOff>0</xdr:colOff>
                    <xdr:row>1211</xdr:row>
                    <xdr:rowOff>133350</xdr:rowOff>
                  </to>
                </anchor>
              </controlPr>
            </control>
          </mc:Choice>
        </mc:AlternateContent>
        <mc:AlternateContent xmlns:mc="http://schemas.openxmlformats.org/markup-compatibility/2006">
          <mc:Choice Requires="x14">
            <control shapeId="1745" r:id="rId724" name="Button 721">
              <controlPr defaultSize="0" autoFill="0" autoLine="0" autoPict="0" macro="[1]!Sheet1.deleteRow">
                <anchor moveWithCells="1" sizeWithCells="1">
                  <from>
                    <xdr:col>6</xdr:col>
                    <xdr:colOff>0</xdr:colOff>
                    <xdr:row>1212</xdr:row>
                    <xdr:rowOff>0</xdr:rowOff>
                  </from>
                  <to>
                    <xdr:col>7</xdr:col>
                    <xdr:colOff>0</xdr:colOff>
                    <xdr:row>1212</xdr:row>
                    <xdr:rowOff>133350</xdr:rowOff>
                  </to>
                </anchor>
              </controlPr>
            </control>
          </mc:Choice>
        </mc:AlternateContent>
        <mc:AlternateContent xmlns:mc="http://schemas.openxmlformats.org/markup-compatibility/2006">
          <mc:Choice Requires="x14">
            <control shapeId="1746" r:id="rId725" name="Button 722">
              <controlPr defaultSize="0" autoFill="0" autoLine="0" autoPict="0" macro="[1]!Sheet1.deleteProcedure">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1747" r:id="rId726" name="Button 723">
              <controlPr defaultSize="0" autoFill="0" autoLine="0" autoPict="0" macro="[1]!Sheet1.InsertNewTableRow">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748" r:id="rId727" name="Button 724">
              <controlPr defaultSize="0" autoFill="0" autoLine="0" autoPict="0" macro="[1]!Sheet1.deleteRow">
                <anchor moveWithCells="1" sizeWithCells="1">
                  <from>
                    <xdr:col>6</xdr:col>
                    <xdr:colOff>0</xdr:colOff>
                    <xdr:row>1223</xdr:row>
                    <xdr:rowOff>0</xdr:rowOff>
                  </from>
                  <to>
                    <xdr:col>7</xdr:col>
                    <xdr:colOff>0</xdr:colOff>
                    <xdr:row>1223</xdr:row>
                    <xdr:rowOff>133350</xdr:rowOff>
                  </to>
                </anchor>
              </controlPr>
            </control>
          </mc:Choice>
        </mc:AlternateContent>
        <mc:AlternateContent xmlns:mc="http://schemas.openxmlformats.org/markup-compatibility/2006">
          <mc:Choice Requires="x14">
            <control shapeId="1749" r:id="rId728" name="Button 725">
              <controlPr defaultSize="0" autoFill="0" autoLine="0" autoPict="0" macro="[1]!Sheet1.deleteRow">
                <anchor moveWithCells="1" sizeWithCells="1">
                  <from>
                    <xdr:col>6</xdr:col>
                    <xdr:colOff>0</xdr:colOff>
                    <xdr:row>1224</xdr:row>
                    <xdr:rowOff>0</xdr:rowOff>
                  </from>
                  <to>
                    <xdr:col>7</xdr:col>
                    <xdr:colOff>0</xdr:colOff>
                    <xdr:row>1224</xdr:row>
                    <xdr:rowOff>133350</xdr:rowOff>
                  </to>
                </anchor>
              </controlPr>
            </control>
          </mc:Choice>
        </mc:AlternateContent>
        <mc:AlternateContent xmlns:mc="http://schemas.openxmlformats.org/markup-compatibility/2006">
          <mc:Choice Requires="x14">
            <control shapeId="1750" r:id="rId729" name="Button 726">
              <controlPr defaultSize="0" autoFill="0" autoLine="0" autoPict="0" macro="[1]!Sheet1.deleteRow">
                <anchor moveWithCells="1" sizeWithCells="1">
                  <from>
                    <xdr:col>6</xdr:col>
                    <xdr:colOff>0</xdr:colOff>
                    <xdr:row>1225</xdr:row>
                    <xdr:rowOff>0</xdr:rowOff>
                  </from>
                  <to>
                    <xdr:col>7</xdr:col>
                    <xdr:colOff>0</xdr:colOff>
                    <xdr:row>1225</xdr:row>
                    <xdr:rowOff>133350</xdr:rowOff>
                  </to>
                </anchor>
              </controlPr>
            </control>
          </mc:Choice>
        </mc:AlternateContent>
        <mc:AlternateContent xmlns:mc="http://schemas.openxmlformats.org/markup-compatibility/2006">
          <mc:Choice Requires="x14">
            <control shapeId="1751" r:id="rId730" name="Button 727">
              <controlPr defaultSize="0" autoFill="0" autoLine="0" autoPict="0" macro="[1]!Sheet1.deleteRow">
                <anchor moveWithCells="1" sizeWithCells="1">
                  <from>
                    <xdr:col>6</xdr:col>
                    <xdr:colOff>0</xdr:colOff>
                    <xdr:row>1226</xdr:row>
                    <xdr:rowOff>0</xdr:rowOff>
                  </from>
                  <to>
                    <xdr:col>7</xdr:col>
                    <xdr:colOff>0</xdr:colOff>
                    <xdr:row>1226</xdr:row>
                    <xdr:rowOff>133350</xdr:rowOff>
                  </to>
                </anchor>
              </controlPr>
            </control>
          </mc:Choice>
        </mc:AlternateContent>
        <mc:AlternateContent xmlns:mc="http://schemas.openxmlformats.org/markup-compatibility/2006">
          <mc:Choice Requires="x14">
            <control shapeId="1752" r:id="rId731" name="Button 728">
              <controlPr defaultSize="0" autoFill="0" autoLine="0" autoPict="0" macro="[1]!Sheet1.deleteRow">
                <anchor moveWithCells="1" sizeWithCells="1">
                  <from>
                    <xdr:col>6</xdr:col>
                    <xdr:colOff>0</xdr:colOff>
                    <xdr:row>1227</xdr:row>
                    <xdr:rowOff>0</xdr:rowOff>
                  </from>
                  <to>
                    <xdr:col>7</xdr:col>
                    <xdr:colOff>0</xdr:colOff>
                    <xdr:row>1227</xdr:row>
                    <xdr:rowOff>133350</xdr:rowOff>
                  </to>
                </anchor>
              </controlPr>
            </control>
          </mc:Choice>
        </mc:AlternateContent>
        <mc:AlternateContent xmlns:mc="http://schemas.openxmlformats.org/markup-compatibility/2006">
          <mc:Choice Requires="x14">
            <control shapeId="1753" r:id="rId732" name="Button 729">
              <controlPr defaultSize="0" autoFill="0" autoLine="0" autoPict="0" macro="[1]!Sheet1.deleteRow">
                <anchor moveWithCells="1" sizeWithCells="1">
                  <from>
                    <xdr:col>6</xdr:col>
                    <xdr:colOff>0</xdr:colOff>
                    <xdr:row>1228</xdr:row>
                    <xdr:rowOff>0</xdr:rowOff>
                  </from>
                  <to>
                    <xdr:col>7</xdr:col>
                    <xdr:colOff>0</xdr:colOff>
                    <xdr:row>1228</xdr:row>
                    <xdr:rowOff>133350</xdr:rowOff>
                  </to>
                </anchor>
              </controlPr>
            </control>
          </mc:Choice>
        </mc:AlternateContent>
        <mc:AlternateContent xmlns:mc="http://schemas.openxmlformats.org/markup-compatibility/2006">
          <mc:Choice Requires="x14">
            <control shapeId="1754" r:id="rId733" name="Button 730">
              <controlPr defaultSize="0" autoFill="0" autoLine="0" autoPict="0" macro="[1]!Sheet1.deleteRow">
                <anchor moveWithCells="1" sizeWithCells="1">
                  <from>
                    <xdr:col>6</xdr:col>
                    <xdr:colOff>0</xdr:colOff>
                    <xdr:row>1229</xdr:row>
                    <xdr:rowOff>0</xdr:rowOff>
                  </from>
                  <to>
                    <xdr:col>7</xdr:col>
                    <xdr:colOff>0</xdr:colOff>
                    <xdr:row>1229</xdr:row>
                    <xdr:rowOff>133350</xdr:rowOff>
                  </to>
                </anchor>
              </controlPr>
            </control>
          </mc:Choice>
        </mc:AlternateContent>
        <mc:AlternateContent xmlns:mc="http://schemas.openxmlformats.org/markup-compatibility/2006">
          <mc:Choice Requires="x14">
            <control shapeId="1755" r:id="rId734" name="Button 731">
              <controlPr defaultSize="0" autoFill="0" autoLine="0" autoPict="0" macro="[1]!Sheet1.deleteRow">
                <anchor moveWithCells="1" sizeWithCells="1">
                  <from>
                    <xdr:col>6</xdr:col>
                    <xdr:colOff>0</xdr:colOff>
                    <xdr:row>1230</xdr:row>
                    <xdr:rowOff>0</xdr:rowOff>
                  </from>
                  <to>
                    <xdr:col>7</xdr:col>
                    <xdr:colOff>0</xdr:colOff>
                    <xdr:row>1230</xdr:row>
                    <xdr:rowOff>133350</xdr:rowOff>
                  </to>
                </anchor>
              </controlPr>
            </control>
          </mc:Choice>
        </mc:AlternateContent>
        <mc:AlternateContent xmlns:mc="http://schemas.openxmlformats.org/markup-compatibility/2006">
          <mc:Choice Requires="x14">
            <control shapeId="1756" r:id="rId735" name="Button 732">
              <controlPr defaultSize="0" autoFill="0" autoLine="0" autoPict="0" macro="[1]!Sheet1.deleteRow">
                <anchor moveWithCells="1" sizeWithCells="1">
                  <from>
                    <xdr:col>6</xdr:col>
                    <xdr:colOff>0</xdr:colOff>
                    <xdr:row>1231</xdr:row>
                    <xdr:rowOff>0</xdr:rowOff>
                  </from>
                  <to>
                    <xdr:col>7</xdr:col>
                    <xdr:colOff>0</xdr:colOff>
                    <xdr:row>1231</xdr:row>
                    <xdr:rowOff>133350</xdr:rowOff>
                  </to>
                </anchor>
              </controlPr>
            </control>
          </mc:Choice>
        </mc:AlternateContent>
        <mc:AlternateContent xmlns:mc="http://schemas.openxmlformats.org/markup-compatibility/2006">
          <mc:Choice Requires="x14">
            <control shapeId="1757" r:id="rId736" name="Button 733">
              <controlPr defaultSize="0" autoFill="0" autoLine="0" autoPict="0" macro="[1]!Sheet1.deleteRow">
                <anchor moveWithCells="1" sizeWithCells="1">
                  <from>
                    <xdr:col>6</xdr:col>
                    <xdr:colOff>0</xdr:colOff>
                    <xdr:row>1232</xdr:row>
                    <xdr:rowOff>0</xdr:rowOff>
                  </from>
                  <to>
                    <xdr:col>7</xdr:col>
                    <xdr:colOff>0</xdr:colOff>
                    <xdr:row>1232</xdr:row>
                    <xdr:rowOff>133350</xdr:rowOff>
                  </to>
                </anchor>
              </controlPr>
            </control>
          </mc:Choice>
        </mc:AlternateContent>
        <mc:AlternateContent xmlns:mc="http://schemas.openxmlformats.org/markup-compatibility/2006">
          <mc:Choice Requires="x14">
            <control shapeId="1758" r:id="rId737" name="Button 734">
              <controlPr defaultSize="0" autoFill="0" autoLine="0" autoPict="0" macro="[1]!Sheet1.deleteRow">
                <anchor moveWithCells="1" sizeWithCells="1">
                  <from>
                    <xdr:col>6</xdr:col>
                    <xdr:colOff>0</xdr:colOff>
                    <xdr:row>1233</xdr:row>
                    <xdr:rowOff>0</xdr:rowOff>
                  </from>
                  <to>
                    <xdr:col>7</xdr:col>
                    <xdr:colOff>0</xdr:colOff>
                    <xdr:row>1233</xdr:row>
                    <xdr:rowOff>133350</xdr:rowOff>
                  </to>
                </anchor>
              </controlPr>
            </control>
          </mc:Choice>
        </mc:AlternateContent>
        <mc:AlternateContent xmlns:mc="http://schemas.openxmlformats.org/markup-compatibility/2006">
          <mc:Choice Requires="x14">
            <control shapeId="1759" r:id="rId738" name="Button 735">
              <controlPr defaultSize="0" autoFill="0" autoLine="0" autoPict="0" macro="[1]!Sheet1.deleteProcedure">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1760" r:id="rId739" name="Button 736">
              <controlPr defaultSize="0" autoFill="0" autoLine="0" autoPict="0" macro="[1]!Sheet1.InsertNewTabl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761" r:id="rId740" name="Button 737">
              <controlPr defaultSize="0" autoFill="0" autoLine="0" autoPict="0" macro="[1]!Sheet1.deleteRow">
                <anchor moveWithCells="1" sizeWithCells="1">
                  <from>
                    <xdr:col>6</xdr:col>
                    <xdr:colOff>0</xdr:colOff>
                    <xdr:row>1244</xdr:row>
                    <xdr:rowOff>0</xdr:rowOff>
                  </from>
                  <to>
                    <xdr:col>7</xdr:col>
                    <xdr:colOff>0</xdr:colOff>
                    <xdr:row>1244</xdr:row>
                    <xdr:rowOff>133350</xdr:rowOff>
                  </to>
                </anchor>
              </controlPr>
            </control>
          </mc:Choice>
        </mc:AlternateContent>
        <mc:AlternateContent xmlns:mc="http://schemas.openxmlformats.org/markup-compatibility/2006">
          <mc:Choice Requires="x14">
            <control shapeId="1762" r:id="rId741" name="Button 738">
              <controlPr defaultSize="0" autoFill="0" autoLine="0" autoPict="0" macro="[1]!Sheet1.deleteRow">
                <anchor moveWithCells="1" sizeWithCells="1">
                  <from>
                    <xdr:col>6</xdr:col>
                    <xdr:colOff>0</xdr:colOff>
                    <xdr:row>1245</xdr:row>
                    <xdr:rowOff>0</xdr:rowOff>
                  </from>
                  <to>
                    <xdr:col>7</xdr:col>
                    <xdr:colOff>0</xdr:colOff>
                    <xdr:row>1245</xdr:row>
                    <xdr:rowOff>133350</xdr:rowOff>
                  </to>
                </anchor>
              </controlPr>
            </control>
          </mc:Choice>
        </mc:AlternateContent>
        <mc:AlternateContent xmlns:mc="http://schemas.openxmlformats.org/markup-compatibility/2006">
          <mc:Choice Requires="x14">
            <control shapeId="1763" r:id="rId742" name="Button 739">
              <controlPr defaultSize="0" autoFill="0" autoLine="0" autoPict="0" macro="[1]!Sheet1.deleteRow">
                <anchor moveWithCells="1" sizeWithCells="1">
                  <from>
                    <xdr:col>6</xdr:col>
                    <xdr:colOff>0</xdr:colOff>
                    <xdr:row>1246</xdr:row>
                    <xdr:rowOff>0</xdr:rowOff>
                  </from>
                  <to>
                    <xdr:col>7</xdr:col>
                    <xdr:colOff>0</xdr:colOff>
                    <xdr:row>1246</xdr:row>
                    <xdr:rowOff>133350</xdr:rowOff>
                  </to>
                </anchor>
              </controlPr>
            </control>
          </mc:Choice>
        </mc:AlternateContent>
        <mc:AlternateContent xmlns:mc="http://schemas.openxmlformats.org/markup-compatibility/2006">
          <mc:Choice Requires="x14">
            <control shapeId="1764" r:id="rId743" name="Button 740">
              <controlPr defaultSize="0" autoFill="0" autoLine="0" autoPict="0" macro="[1]!Sheet1.deleteRow">
                <anchor moveWithCells="1" sizeWithCells="1">
                  <from>
                    <xdr:col>6</xdr:col>
                    <xdr:colOff>0</xdr:colOff>
                    <xdr:row>1247</xdr:row>
                    <xdr:rowOff>0</xdr:rowOff>
                  </from>
                  <to>
                    <xdr:col>7</xdr:col>
                    <xdr:colOff>0</xdr:colOff>
                    <xdr:row>1247</xdr:row>
                    <xdr:rowOff>133350</xdr:rowOff>
                  </to>
                </anchor>
              </controlPr>
            </control>
          </mc:Choice>
        </mc:AlternateContent>
        <mc:AlternateContent xmlns:mc="http://schemas.openxmlformats.org/markup-compatibility/2006">
          <mc:Choice Requires="x14">
            <control shapeId="1765" r:id="rId744" name="Button 741">
              <controlPr defaultSize="0" autoFill="0" autoLine="0" autoPict="0" macro="[1]!Sheet1.deleteRow">
                <anchor moveWithCells="1" sizeWithCells="1">
                  <from>
                    <xdr:col>6</xdr:col>
                    <xdr:colOff>0</xdr:colOff>
                    <xdr:row>1248</xdr:row>
                    <xdr:rowOff>0</xdr:rowOff>
                  </from>
                  <to>
                    <xdr:col>7</xdr:col>
                    <xdr:colOff>0</xdr:colOff>
                    <xdr:row>1248</xdr:row>
                    <xdr:rowOff>133350</xdr:rowOff>
                  </to>
                </anchor>
              </controlPr>
            </control>
          </mc:Choice>
        </mc:AlternateContent>
        <mc:AlternateContent xmlns:mc="http://schemas.openxmlformats.org/markup-compatibility/2006">
          <mc:Choice Requires="x14">
            <control shapeId="1766" r:id="rId745" name="Button 742">
              <controlPr defaultSize="0" autoFill="0" autoLine="0" autoPict="0" macro="[1]!Sheet1.deleteRow">
                <anchor moveWithCells="1" sizeWithCells="1">
                  <from>
                    <xdr:col>6</xdr:col>
                    <xdr:colOff>0</xdr:colOff>
                    <xdr:row>1249</xdr:row>
                    <xdr:rowOff>0</xdr:rowOff>
                  </from>
                  <to>
                    <xdr:col>7</xdr:col>
                    <xdr:colOff>0</xdr:colOff>
                    <xdr:row>1249</xdr:row>
                    <xdr:rowOff>133350</xdr:rowOff>
                  </to>
                </anchor>
              </controlPr>
            </control>
          </mc:Choice>
        </mc:AlternateContent>
        <mc:AlternateContent xmlns:mc="http://schemas.openxmlformats.org/markup-compatibility/2006">
          <mc:Choice Requires="x14">
            <control shapeId="1767" r:id="rId746" name="Button 743">
              <controlPr defaultSize="0" autoFill="0" autoLine="0" autoPict="0" macro="[1]!Sheet1.deleteRow">
                <anchor moveWithCells="1" sizeWithCells="1">
                  <from>
                    <xdr:col>6</xdr:col>
                    <xdr:colOff>0</xdr:colOff>
                    <xdr:row>1250</xdr:row>
                    <xdr:rowOff>0</xdr:rowOff>
                  </from>
                  <to>
                    <xdr:col>7</xdr:col>
                    <xdr:colOff>0</xdr:colOff>
                    <xdr:row>1250</xdr:row>
                    <xdr:rowOff>133350</xdr:rowOff>
                  </to>
                </anchor>
              </controlPr>
            </control>
          </mc:Choice>
        </mc:AlternateContent>
        <mc:AlternateContent xmlns:mc="http://schemas.openxmlformats.org/markup-compatibility/2006">
          <mc:Choice Requires="x14">
            <control shapeId="1768" r:id="rId747" name="Button 744">
              <controlPr defaultSize="0" autoFill="0" autoLine="0" autoPict="0" macro="[1]!Sheet1.deleteRow">
                <anchor moveWithCells="1" sizeWithCells="1">
                  <from>
                    <xdr:col>6</xdr:col>
                    <xdr:colOff>0</xdr:colOff>
                    <xdr:row>1251</xdr:row>
                    <xdr:rowOff>0</xdr:rowOff>
                  </from>
                  <to>
                    <xdr:col>7</xdr:col>
                    <xdr:colOff>0</xdr:colOff>
                    <xdr:row>1251</xdr:row>
                    <xdr:rowOff>133350</xdr:rowOff>
                  </to>
                </anchor>
              </controlPr>
            </control>
          </mc:Choice>
        </mc:AlternateContent>
        <mc:AlternateContent xmlns:mc="http://schemas.openxmlformats.org/markup-compatibility/2006">
          <mc:Choice Requires="x14">
            <control shapeId="1769" r:id="rId748" name="Button 745">
              <controlPr defaultSize="0" autoFill="0" autoLine="0" autoPict="0" macro="[1]!Sheet1.deleteRow">
                <anchor moveWithCells="1" sizeWithCells="1">
                  <from>
                    <xdr:col>6</xdr:col>
                    <xdr:colOff>0</xdr:colOff>
                    <xdr:row>1252</xdr:row>
                    <xdr:rowOff>0</xdr:rowOff>
                  </from>
                  <to>
                    <xdr:col>7</xdr:col>
                    <xdr:colOff>0</xdr:colOff>
                    <xdr:row>1252</xdr:row>
                    <xdr:rowOff>133350</xdr:rowOff>
                  </to>
                </anchor>
              </controlPr>
            </control>
          </mc:Choice>
        </mc:AlternateContent>
        <mc:AlternateContent xmlns:mc="http://schemas.openxmlformats.org/markup-compatibility/2006">
          <mc:Choice Requires="x14">
            <control shapeId="1770" r:id="rId749" name="Button 746">
              <controlPr defaultSize="0" autoFill="0" autoLine="0" autoPict="0" macro="[1]!Sheet1.deleteRow">
                <anchor moveWithCells="1" sizeWithCells="1">
                  <from>
                    <xdr:col>6</xdr:col>
                    <xdr:colOff>0</xdr:colOff>
                    <xdr:row>1253</xdr:row>
                    <xdr:rowOff>0</xdr:rowOff>
                  </from>
                  <to>
                    <xdr:col>7</xdr:col>
                    <xdr:colOff>0</xdr:colOff>
                    <xdr:row>1253</xdr:row>
                    <xdr:rowOff>133350</xdr:rowOff>
                  </to>
                </anchor>
              </controlPr>
            </control>
          </mc:Choice>
        </mc:AlternateContent>
        <mc:AlternateContent xmlns:mc="http://schemas.openxmlformats.org/markup-compatibility/2006">
          <mc:Choice Requires="x14">
            <control shapeId="1771" r:id="rId750" name="Button 747">
              <controlPr defaultSize="0" autoFill="0" autoLine="0" autoPict="0" macro="[1]!Sheet1.deleteRow">
                <anchor moveWithCells="1" sizeWithCells="1">
                  <from>
                    <xdr:col>6</xdr:col>
                    <xdr:colOff>0</xdr:colOff>
                    <xdr:row>1254</xdr:row>
                    <xdr:rowOff>0</xdr:rowOff>
                  </from>
                  <to>
                    <xdr:col>7</xdr:col>
                    <xdr:colOff>0</xdr:colOff>
                    <xdr:row>1254</xdr:row>
                    <xdr:rowOff>133350</xdr:rowOff>
                  </to>
                </anchor>
              </controlPr>
            </control>
          </mc:Choice>
        </mc:AlternateContent>
        <mc:AlternateContent xmlns:mc="http://schemas.openxmlformats.org/markup-compatibility/2006">
          <mc:Choice Requires="x14">
            <control shapeId="1772" r:id="rId751" name="Button 748">
              <controlPr defaultSize="0" autoFill="0" autoLine="0" autoPict="0" macro="[1]!Sheet1.deleteProcedure">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773" r:id="rId752" name="Button 749">
              <controlPr defaultSize="0" autoFill="0" autoLine="0" autoPict="0" macro="[1]!Sheet1.InsertNewTableRow">
                <anchor moveWithCells="1" sizeWithCells="1">
                  <from>
                    <xdr:col>6</xdr:col>
                    <xdr:colOff>0</xdr:colOff>
                    <xdr:row>1264</xdr:row>
                    <xdr:rowOff>0</xdr:rowOff>
                  </from>
                  <to>
                    <xdr:col>7</xdr:col>
                    <xdr:colOff>0</xdr:colOff>
                    <xdr:row>1265</xdr:row>
                    <xdr:rowOff>0</xdr:rowOff>
                  </to>
                </anchor>
              </controlPr>
            </control>
          </mc:Choice>
        </mc:AlternateContent>
        <mc:AlternateContent xmlns:mc="http://schemas.openxmlformats.org/markup-compatibility/2006">
          <mc:Choice Requires="x14">
            <control shapeId="1774" r:id="rId753" name="Button 750">
              <controlPr defaultSize="0" autoFill="0" autoLine="0" autoPict="0" macro="[1]!Sheet1.deleteRow">
                <anchor moveWithCells="1" sizeWithCells="1">
                  <from>
                    <xdr:col>6</xdr:col>
                    <xdr:colOff>0</xdr:colOff>
                    <xdr:row>1265</xdr:row>
                    <xdr:rowOff>0</xdr:rowOff>
                  </from>
                  <to>
                    <xdr:col>7</xdr:col>
                    <xdr:colOff>0</xdr:colOff>
                    <xdr:row>1265</xdr:row>
                    <xdr:rowOff>133350</xdr:rowOff>
                  </to>
                </anchor>
              </controlPr>
            </control>
          </mc:Choice>
        </mc:AlternateContent>
        <mc:AlternateContent xmlns:mc="http://schemas.openxmlformats.org/markup-compatibility/2006">
          <mc:Choice Requires="x14">
            <control shapeId="1775" r:id="rId754" name="Button 751">
              <controlPr defaultSize="0" autoFill="0" autoLine="0" autoPict="0" macro="[1]!Sheet1.deleteRow">
                <anchor moveWithCells="1" sizeWithCells="1">
                  <from>
                    <xdr:col>6</xdr:col>
                    <xdr:colOff>0</xdr:colOff>
                    <xdr:row>1266</xdr:row>
                    <xdr:rowOff>0</xdr:rowOff>
                  </from>
                  <to>
                    <xdr:col>7</xdr:col>
                    <xdr:colOff>0</xdr:colOff>
                    <xdr:row>1266</xdr:row>
                    <xdr:rowOff>133350</xdr:rowOff>
                  </to>
                </anchor>
              </controlPr>
            </control>
          </mc:Choice>
        </mc:AlternateContent>
        <mc:AlternateContent xmlns:mc="http://schemas.openxmlformats.org/markup-compatibility/2006">
          <mc:Choice Requires="x14">
            <control shapeId="1776" r:id="rId755" name="Button 752">
              <controlPr defaultSize="0" autoFill="0" autoLine="0" autoPict="0" macro="[1]!Sheet1.deleteRow">
                <anchor moveWithCells="1" sizeWithCells="1">
                  <from>
                    <xdr:col>6</xdr:col>
                    <xdr:colOff>0</xdr:colOff>
                    <xdr:row>1267</xdr:row>
                    <xdr:rowOff>0</xdr:rowOff>
                  </from>
                  <to>
                    <xdr:col>7</xdr:col>
                    <xdr:colOff>0</xdr:colOff>
                    <xdr:row>1267</xdr:row>
                    <xdr:rowOff>133350</xdr:rowOff>
                  </to>
                </anchor>
              </controlPr>
            </control>
          </mc:Choice>
        </mc:AlternateContent>
        <mc:AlternateContent xmlns:mc="http://schemas.openxmlformats.org/markup-compatibility/2006">
          <mc:Choice Requires="x14">
            <control shapeId="1777" r:id="rId756" name="Button 753">
              <controlPr defaultSize="0" autoFill="0" autoLine="0" autoPict="0" macro="[1]!Sheet1.deleteRow">
                <anchor moveWithCells="1" sizeWithCells="1">
                  <from>
                    <xdr:col>6</xdr:col>
                    <xdr:colOff>0</xdr:colOff>
                    <xdr:row>1268</xdr:row>
                    <xdr:rowOff>0</xdr:rowOff>
                  </from>
                  <to>
                    <xdr:col>7</xdr:col>
                    <xdr:colOff>0</xdr:colOff>
                    <xdr:row>1268</xdr:row>
                    <xdr:rowOff>133350</xdr:rowOff>
                  </to>
                </anchor>
              </controlPr>
            </control>
          </mc:Choice>
        </mc:AlternateContent>
        <mc:AlternateContent xmlns:mc="http://schemas.openxmlformats.org/markup-compatibility/2006">
          <mc:Choice Requires="x14">
            <control shapeId="1778" r:id="rId757" name="Button 754">
              <controlPr defaultSize="0" autoFill="0" autoLine="0" autoPict="0" macro="[1]!Sheet1.deleteRow">
                <anchor moveWithCells="1" sizeWithCells="1">
                  <from>
                    <xdr:col>6</xdr:col>
                    <xdr:colOff>0</xdr:colOff>
                    <xdr:row>1269</xdr:row>
                    <xdr:rowOff>0</xdr:rowOff>
                  </from>
                  <to>
                    <xdr:col>7</xdr:col>
                    <xdr:colOff>0</xdr:colOff>
                    <xdr:row>1269</xdr:row>
                    <xdr:rowOff>133350</xdr:rowOff>
                  </to>
                </anchor>
              </controlPr>
            </control>
          </mc:Choice>
        </mc:AlternateContent>
        <mc:AlternateContent xmlns:mc="http://schemas.openxmlformats.org/markup-compatibility/2006">
          <mc:Choice Requires="x14">
            <control shapeId="1779" r:id="rId758" name="Button 755">
              <controlPr defaultSize="0" autoFill="0" autoLine="0" autoPict="0" macro="[1]!Sheet1.deleteRow">
                <anchor moveWithCells="1" sizeWithCells="1">
                  <from>
                    <xdr:col>6</xdr:col>
                    <xdr:colOff>0</xdr:colOff>
                    <xdr:row>1270</xdr:row>
                    <xdr:rowOff>0</xdr:rowOff>
                  </from>
                  <to>
                    <xdr:col>7</xdr:col>
                    <xdr:colOff>0</xdr:colOff>
                    <xdr:row>1270</xdr:row>
                    <xdr:rowOff>133350</xdr:rowOff>
                  </to>
                </anchor>
              </controlPr>
            </control>
          </mc:Choice>
        </mc:AlternateContent>
        <mc:AlternateContent xmlns:mc="http://schemas.openxmlformats.org/markup-compatibility/2006">
          <mc:Choice Requires="x14">
            <control shapeId="1780" r:id="rId759" name="Button 756">
              <controlPr defaultSize="0" autoFill="0" autoLine="0" autoPict="0" macro="[1]!Sheet1.deleteRow">
                <anchor moveWithCells="1" sizeWithCells="1">
                  <from>
                    <xdr:col>6</xdr:col>
                    <xdr:colOff>0</xdr:colOff>
                    <xdr:row>1271</xdr:row>
                    <xdr:rowOff>0</xdr:rowOff>
                  </from>
                  <to>
                    <xdr:col>7</xdr:col>
                    <xdr:colOff>0</xdr:colOff>
                    <xdr:row>1271</xdr:row>
                    <xdr:rowOff>133350</xdr:rowOff>
                  </to>
                </anchor>
              </controlPr>
            </control>
          </mc:Choice>
        </mc:AlternateContent>
        <mc:AlternateContent xmlns:mc="http://schemas.openxmlformats.org/markup-compatibility/2006">
          <mc:Choice Requires="x14">
            <control shapeId="1781" r:id="rId760" name="Button 757">
              <controlPr defaultSize="0" autoFill="0" autoLine="0" autoPict="0" macro="[1]!Sheet1.deleteRow">
                <anchor moveWithCells="1" sizeWithCells="1">
                  <from>
                    <xdr:col>6</xdr:col>
                    <xdr:colOff>0</xdr:colOff>
                    <xdr:row>1272</xdr:row>
                    <xdr:rowOff>0</xdr:rowOff>
                  </from>
                  <to>
                    <xdr:col>7</xdr:col>
                    <xdr:colOff>0</xdr:colOff>
                    <xdr:row>1272</xdr:row>
                    <xdr:rowOff>133350</xdr:rowOff>
                  </to>
                </anchor>
              </controlPr>
            </control>
          </mc:Choice>
        </mc:AlternateContent>
        <mc:AlternateContent xmlns:mc="http://schemas.openxmlformats.org/markup-compatibility/2006">
          <mc:Choice Requires="x14">
            <control shapeId="1782" r:id="rId761" name="Button 758">
              <controlPr defaultSize="0" autoFill="0" autoLine="0" autoPict="0" macro="[1]!Sheet1.deleteRow">
                <anchor moveWithCells="1" sizeWithCells="1">
                  <from>
                    <xdr:col>6</xdr:col>
                    <xdr:colOff>0</xdr:colOff>
                    <xdr:row>1273</xdr:row>
                    <xdr:rowOff>0</xdr:rowOff>
                  </from>
                  <to>
                    <xdr:col>7</xdr:col>
                    <xdr:colOff>0</xdr:colOff>
                    <xdr:row>1273</xdr:row>
                    <xdr:rowOff>133350</xdr:rowOff>
                  </to>
                </anchor>
              </controlPr>
            </control>
          </mc:Choice>
        </mc:AlternateContent>
        <mc:AlternateContent xmlns:mc="http://schemas.openxmlformats.org/markup-compatibility/2006">
          <mc:Choice Requires="x14">
            <control shapeId="1783" r:id="rId762" name="Button 759">
              <controlPr defaultSize="0" autoFill="0" autoLine="0" autoPict="0" macro="[1]!Sheet1.deleteRow">
                <anchor moveWithCells="1" sizeWithCells="1">
                  <from>
                    <xdr:col>6</xdr:col>
                    <xdr:colOff>0</xdr:colOff>
                    <xdr:row>1274</xdr:row>
                    <xdr:rowOff>0</xdr:rowOff>
                  </from>
                  <to>
                    <xdr:col>7</xdr:col>
                    <xdr:colOff>0</xdr:colOff>
                    <xdr:row>1274</xdr:row>
                    <xdr:rowOff>133350</xdr:rowOff>
                  </to>
                </anchor>
              </controlPr>
            </control>
          </mc:Choice>
        </mc:AlternateContent>
        <mc:AlternateContent xmlns:mc="http://schemas.openxmlformats.org/markup-compatibility/2006">
          <mc:Choice Requires="x14">
            <control shapeId="1784" r:id="rId763" name="Button 760">
              <controlPr defaultSize="0" autoFill="0" autoLine="0" autoPict="0" macro="[1]!Sheet1.deleteRow">
                <anchor moveWithCells="1" sizeWithCells="1">
                  <from>
                    <xdr:col>6</xdr:col>
                    <xdr:colOff>0</xdr:colOff>
                    <xdr:row>1275</xdr:row>
                    <xdr:rowOff>0</xdr:rowOff>
                  </from>
                  <to>
                    <xdr:col>7</xdr:col>
                    <xdr:colOff>0</xdr:colOff>
                    <xdr:row>1275</xdr:row>
                    <xdr:rowOff>133350</xdr:rowOff>
                  </to>
                </anchor>
              </controlPr>
            </control>
          </mc:Choice>
        </mc:AlternateContent>
        <mc:AlternateContent xmlns:mc="http://schemas.openxmlformats.org/markup-compatibility/2006">
          <mc:Choice Requires="x14">
            <control shapeId="1785" r:id="rId764" name="Button 761">
              <controlPr defaultSize="0" autoFill="0" autoLine="0" autoPict="0" macro="[1]!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786" r:id="rId765" name="Button 762">
              <controlPr defaultSize="0" autoFill="0" autoLine="0" autoPict="0" macro="[1]!Sheet1.InsertNewTabl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787" r:id="rId766" name="Button 763">
              <controlPr defaultSize="0" autoFill="0" autoLine="0" autoPict="0" macro="[1]!Sheet1.deleteRow">
                <anchor moveWithCells="1" sizeWithCells="1">
                  <from>
                    <xdr:col>6</xdr:col>
                    <xdr:colOff>0</xdr:colOff>
                    <xdr:row>1286</xdr:row>
                    <xdr:rowOff>0</xdr:rowOff>
                  </from>
                  <to>
                    <xdr:col>7</xdr:col>
                    <xdr:colOff>0</xdr:colOff>
                    <xdr:row>1286</xdr:row>
                    <xdr:rowOff>133350</xdr:rowOff>
                  </to>
                </anchor>
              </controlPr>
            </control>
          </mc:Choice>
        </mc:AlternateContent>
        <mc:AlternateContent xmlns:mc="http://schemas.openxmlformats.org/markup-compatibility/2006">
          <mc:Choice Requires="x14">
            <control shapeId="1788" r:id="rId767" name="Button 764">
              <controlPr defaultSize="0" autoFill="0" autoLine="0" autoPict="0" macro="[1]!Sheet1.deleteRow">
                <anchor moveWithCells="1" sizeWithCells="1">
                  <from>
                    <xdr:col>6</xdr:col>
                    <xdr:colOff>0</xdr:colOff>
                    <xdr:row>1287</xdr:row>
                    <xdr:rowOff>0</xdr:rowOff>
                  </from>
                  <to>
                    <xdr:col>7</xdr:col>
                    <xdr:colOff>0</xdr:colOff>
                    <xdr:row>1287</xdr:row>
                    <xdr:rowOff>133350</xdr:rowOff>
                  </to>
                </anchor>
              </controlPr>
            </control>
          </mc:Choice>
        </mc:AlternateContent>
        <mc:AlternateContent xmlns:mc="http://schemas.openxmlformats.org/markup-compatibility/2006">
          <mc:Choice Requires="x14">
            <control shapeId="1789" r:id="rId768" name="Button 765">
              <controlPr defaultSize="0" autoFill="0" autoLine="0" autoPict="0" macro="[1]!Sheet1.deleteRow">
                <anchor moveWithCells="1" sizeWithCells="1">
                  <from>
                    <xdr:col>6</xdr:col>
                    <xdr:colOff>0</xdr:colOff>
                    <xdr:row>1288</xdr:row>
                    <xdr:rowOff>0</xdr:rowOff>
                  </from>
                  <to>
                    <xdr:col>7</xdr:col>
                    <xdr:colOff>0</xdr:colOff>
                    <xdr:row>1288</xdr:row>
                    <xdr:rowOff>133350</xdr:rowOff>
                  </to>
                </anchor>
              </controlPr>
            </control>
          </mc:Choice>
        </mc:AlternateContent>
        <mc:AlternateContent xmlns:mc="http://schemas.openxmlformats.org/markup-compatibility/2006">
          <mc:Choice Requires="x14">
            <control shapeId="1790" r:id="rId769" name="Button 766">
              <controlPr defaultSize="0" autoFill="0" autoLine="0" autoPict="0" macro="[1]!Sheet1.deleteRow">
                <anchor moveWithCells="1" sizeWithCells="1">
                  <from>
                    <xdr:col>6</xdr:col>
                    <xdr:colOff>0</xdr:colOff>
                    <xdr:row>1289</xdr:row>
                    <xdr:rowOff>0</xdr:rowOff>
                  </from>
                  <to>
                    <xdr:col>7</xdr:col>
                    <xdr:colOff>0</xdr:colOff>
                    <xdr:row>1289</xdr:row>
                    <xdr:rowOff>133350</xdr:rowOff>
                  </to>
                </anchor>
              </controlPr>
            </control>
          </mc:Choice>
        </mc:AlternateContent>
        <mc:AlternateContent xmlns:mc="http://schemas.openxmlformats.org/markup-compatibility/2006">
          <mc:Choice Requires="x14">
            <control shapeId="1791" r:id="rId770" name="Button 767">
              <controlPr defaultSize="0" autoFill="0" autoLine="0" autoPict="0" macro="[1]!Sheet1.deleteRow">
                <anchor moveWithCells="1" sizeWithCells="1">
                  <from>
                    <xdr:col>6</xdr:col>
                    <xdr:colOff>0</xdr:colOff>
                    <xdr:row>1290</xdr:row>
                    <xdr:rowOff>0</xdr:rowOff>
                  </from>
                  <to>
                    <xdr:col>7</xdr:col>
                    <xdr:colOff>0</xdr:colOff>
                    <xdr:row>1290</xdr:row>
                    <xdr:rowOff>133350</xdr:rowOff>
                  </to>
                </anchor>
              </controlPr>
            </control>
          </mc:Choice>
        </mc:AlternateContent>
        <mc:AlternateContent xmlns:mc="http://schemas.openxmlformats.org/markup-compatibility/2006">
          <mc:Choice Requires="x14">
            <control shapeId="1792" r:id="rId771" name="Button 768">
              <controlPr defaultSize="0" autoFill="0" autoLine="0" autoPict="0" macro="[1]!Sheet1.deleteRow">
                <anchor moveWithCells="1" sizeWithCells="1">
                  <from>
                    <xdr:col>6</xdr:col>
                    <xdr:colOff>0</xdr:colOff>
                    <xdr:row>1291</xdr:row>
                    <xdr:rowOff>0</xdr:rowOff>
                  </from>
                  <to>
                    <xdr:col>7</xdr:col>
                    <xdr:colOff>0</xdr:colOff>
                    <xdr:row>1291</xdr:row>
                    <xdr:rowOff>133350</xdr:rowOff>
                  </to>
                </anchor>
              </controlPr>
            </control>
          </mc:Choice>
        </mc:AlternateContent>
        <mc:AlternateContent xmlns:mc="http://schemas.openxmlformats.org/markup-compatibility/2006">
          <mc:Choice Requires="x14">
            <control shapeId="1793" r:id="rId772" name="Button 769">
              <controlPr defaultSize="0" autoFill="0" autoLine="0" autoPict="0" macro="[1]!Sheet1.deleteRow">
                <anchor moveWithCells="1" sizeWithCells="1">
                  <from>
                    <xdr:col>6</xdr:col>
                    <xdr:colOff>0</xdr:colOff>
                    <xdr:row>1292</xdr:row>
                    <xdr:rowOff>0</xdr:rowOff>
                  </from>
                  <to>
                    <xdr:col>7</xdr:col>
                    <xdr:colOff>0</xdr:colOff>
                    <xdr:row>1292</xdr:row>
                    <xdr:rowOff>133350</xdr:rowOff>
                  </to>
                </anchor>
              </controlPr>
            </control>
          </mc:Choice>
        </mc:AlternateContent>
        <mc:AlternateContent xmlns:mc="http://schemas.openxmlformats.org/markup-compatibility/2006">
          <mc:Choice Requires="x14">
            <control shapeId="1794" r:id="rId773" name="Button 770">
              <controlPr defaultSize="0" autoFill="0" autoLine="0" autoPict="0" macro="[1]!Sheet1.deleteRow">
                <anchor moveWithCells="1" sizeWithCells="1">
                  <from>
                    <xdr:col>6</xdr:col>
                    <xdr:colOff>0</xdr:colOff>
                    <xdr:row>1293</xdr:row>
                    <xdr:rowOff>0</xdr:rowOff>
                  </from>
                  <to>
                    <xdr:col>7</xdr:col>
                    <xdr:colOff>0</xdr:colOff>
                    <xdr:row>1293</xdr:row>
                    <xdr:rowOff>133350</xdr:rowOff>
                  </to>
                </anchor>
              </controlPr>
            </control>
          </mc:Choice>
        </mc:AlternateContent>
        <mc:AlternateContent xmlns:mc="http://schemas.openxmlformats.org/markup-compatibility/2006">
          <mc:Choice Requires="x14">
            <control shapeId="1795" r:id="rId774" name="Button 771">
              <controlPr defaultSize="0" autoFill="0" autoLine="0" autoPict="0" macro="[1]!Sheet1.deleteProcedure">
                <anchor moveWithCells="1" sizeWithCells="1">
                  <from>
                    <xdr:col>6</xdr:col>
                    <xdr:colOff>0</xdr:colOff>
                    <xdr:row>1296</xdr:row>
                    <xdr:rowOff>0</xdr:rowOff>
                  </from>
                  <to>
                    <xdr:col>7</xdr:col>
                    <xdr:colOff>0</xdr:colOff>
                    <xdr:row>1297</xdr:row>
                    <xdr:rowOff>0</xdr:rowOff>
                  </to>
                </anchor>
              </controlPr>
            </control>
          </mc:Choice>
        </mc:AlternateContent>
        <mc:AlternateContent xmlns:mc="http://schemas.openxmlformats.org/markup-compatibility/2006">
          <mc:Choice Requires="x14">
            <control shapeId="1796" r:id="rId775" name="Button 772">
              <controlPr defaultSize="0" autoFill="0" autoLine="0" autoPict="0" macro="[1]!Sheet1.InsertNewTableRow">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1797" r:id="rId776" name="Button 773">
              <controlPr defaultSize="0" autoFill="0" autoLine="0" autoPict="0" macro="[1]!Sheet1.deleteRow">
                <anchor moveWithCells="1" sizeWithCells="1">
                  <from>
                    <xdr:col>6</xdr:col>
                    <xdr:colOff>0</xdr:colOff>
                    <xdr:row>1304</xdr:row>
                    <xdr:rowOff>0</xdr:rowOff>
                  </from>
                  <to>
                    <xdr:col>7</xdr:col>
                    <xdr:colOff>0</xdr:colOff>
                    <xdr:row>1304</xdr:row>
                    <xdr:rowOff>133350</xdr:rowOff>
                  </to>
                </anchor>
              </controlPr>
            </control>
          </mc:Choice>
        </mc:AlternateContent>
        <mc:AlternateContent xmlns:mc="http://schemas.openxmlformats.org/markup-compatibility/2006">
          <mc:Choice Requires="x14">
            <control shapeId="1798" r:id="rId777" name="Button 774">
              <controlPr defaultSize="0" autoFill="0" autoLine="0" autoPict="0" macro="[1]!Sheet1.deleteProcedure">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799" r:id="rId778" name="Button 775">
              <controlPr defaultSize="0" autoFill="0" autoLine="0" autoPict="0" macro="[1]!Sheet1.InsertNewTableRow">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800" r:id="rId779" name="Button 776">
              <controlPr defaultSize="0" autoFill="0" autoLine="0" autoPict="0" macro="[1]!Sheet1.deleteRow">
                <anchor moveWithCells="1" sizeWithCells="1">
                  <from>
                    <xdr:col>6</xdr:col>
                    <xdr:colOff>0</xdr:colOff>
                    <xdr:row>1315</xdr:row>
                    <xdr:rowOff>0</xdr:rowOff>
                  </from>
                  <to>
                    <xdr:col>7</xdr:col>
                    <xdr:colOff>0</xdr:colOff>
                    <xdr:row>1315</xdr:row>
                    <xdr:rowOff>133350</xdr:rowOff>
                  </to>
                </anchor>
              </controlPr>
            </control>
          </mc:Choice>
        </mc:AlternateContent>
        <mc:AlternateContent xmlns:mc="http://schemas.openxmlformats.org/markup-compatibility/2006">
          <mc:Choice Requires="x14">
            <control shapeId="1801" r:id="rId780" name="Button 777">
              <controlPr defaultSize="0" autoFill="0" autoLine="0" autoPict="0" macro="[1]!Sheet1.deleteRow">
                <anchor moveWithCells="1" sizeWithCells="1">
                  <from>
                    <xdr:col>6</xdr:col>
                    <xdr:colOff>0</xdr:colOff>
                    <xdr:row>1316</xdr:row>
                    <xdr:rowOff>0</xdr:rowOff>
                  </from>
                  <to>
                    <xdr:col>7</xdr:col>
                    <xdr:colOff>0</xdr:colOff>
                    <xdr:row>1316</xdr:row>
                    <xdr:rowOff>133350</xdr:rowOff>
                  </to>
                </anchor>
              </controlPr>
            </control>
          </mc:Choice>
        </mc:AlternateContent>
        <mc:AlternateContent xmlns:mc="http://schemas.openxmlformats.org/markup-compatibility/2006">
          <mc:Choice Requires="x14">
            <control shapeId="1802" r:id="rId781" name="Button 778">
              <controlPr defaultSize="0" autoFill="0" autoLine="0" autoPict="0" macro="[1]!Sheet1.deleteProcedure">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1803" r:id="rId782" name="Button 779">
              <controlPr defaultSize="0" autoFill="0" autoLine="0" autoPict="0" macro="[1]!Sheet1.InsertNewTableRow">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804" r:id="rId783" name="Button 780">
              <controlPr defaultSize="0" autoFill="0" autoLine="0" autoPict="0" macro="[1]!Sheet1.deleteRow">
                <anchor moveWithCells="1" sizeWithCells="1">
                  <from>
                    <xdr:col>6</xdr:col>
                    <xdr:colOff>0</xdr:colOff>
                    <xdr:row>1327</xdr:row>
                    <xdr:rowOff>0</xdr:rowOff>
                  </from>
                  <to>
                    <xdr:col>7</xdr:col>
                    <xdr:colOff>0</xdr:colOff>
                    <xdr:row>1327</xdr:row>
                    <xdr:rowOff>133350</xdr:rowOff>
                  </to>
                </anchor>
              </controlPr>
            </control>
          </mc:Choice>
        </mc:AlternateContent>
        <mc:AlternateContent xmlns:mc="http://schemas.openxmlformats.org/markup-compatibility/2006">
          <mc:Choice Requires="x14">
            <control shapeId="1805" r:id="rId784" name="Button 781">
              <controlPr defaultSize="0" autoFill="0" autoLine="0" autoPict="0" macro="[1]!Sheet1.deleteProcedure">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806" r:id="rId785" name="Button 782">
              <controlPr defaultSize="0" autoFill="0" autoLine="0" autoPict="0" macro="[1]!Sheet1.InsertNewTabl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807" r:id="rId786" name="Button 783">
              <controlPr defaultSize="0" autoFill="0" autoLine="0" autoPict="0" macro="[1]!Sheet1.deleteRow">
                <anchor moveWithCells="1" sizeWithCells="1">
                  <from>
                    <xdr:col>6</xdr:col>
                    <xdr:colOff>0</xdr:colOff>
                    <xdr:row>1338</xdr:row>
                    <xdr:rowOff>0</xdr:rowOff>
                  </from>
                  <to>
                    <xdr:col>7</xdr:col>
                    <xdr:colOff>0</xdr:colOff>
                    <xdr:row>1338</xdr:row>
                    <xdr:rowOff>133350</xdr:rowOff>
                  </to>
                </anchor>
              </controlPr>
            </control>
          </mc:Choice>
        </mc:AlternateContent>
        <mc:AlternateContent xmlns:mc="http://schemas.openxmlformats.org/markup-compatibility/2006">
          <mc:Choice Requires="x14">
            <control shapeId="1808" r:id="rId787" name="Button 784">
              <controlPr defaultSize="0" autoFill="0" autoLine="0" autoPict="0" macro="[1]!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809" r:id="rId788" name="Button 785">
              <controlPr defaultSize="0" autoFill="0" autoLine="0" autoPict="0" macro="[1]!Sheet1.InsertNewTabl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810" r:id="rId789" name="Button 786">
              <controlPr defaultSize="0" autoFill="0" autoLine="0" autoPict="0" macro="[1]!Sheet1.deleteRow">
                <anchor moveWithCells="1" sizeWithCells="1">
                  <from>
                    <xdr:col>6</xdr:col>
                    <xdr:colOff>0</xdr:colOff>
                    <xdr:row>1349</xdr:row>
                    <xdr:rowOff>0</xdr:rowOff>
                  </from>
                  <to>
                    <xdr:col>7</xdr:col>
                    <xdr:colOff>0</xdr:colOff>
                    <xdr:row>1349</xdr:row>
                    <xdr:rowOff>133350</xdr:rowOff>
                  </to>
                </anchor>
              </controlPr>
            </control>
          </mc:Choice>
        </mc:AlternateContent>
        <mc:AlternateContent xmlns:mc="http://schemas.openxmlformats.org/markup-compatibility/2006">
          <mc:Choice Requires="x14">
            <control shapeId="1811" r:id="rId790" name="Button 787">
              <controlPr defaultSize="0" autoFill="0" autoLine="0" autoPict="0" macro="[1]!Sheet1.deleteProcedure">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812" r:id="rId791" name="Button 788">
              <controlPr defaultSize="0" autoFill="0" autoLine="0" autoPict="0" macro="[1]!Sheet1.InsertNewTableRow">
                <anchor moveWithCells="1" sizeWithCells="1">
                  <from>
                    <xdr:col>6</xdr:col>
                    <xdr:colOff>0</xdr:colOff>
                    <xdr:row>1359</xdr:row>
                    <xdr:rowOff>0</xdr:rowOff>
                  </from>
                  <to>
                    <xdr:col>7</xdr:col>
                    <xdr:colOff>0</xdr:colOff>
                    <xdr:row>1360</xdr:row>
                    <xdr:rowOff>0</xdr:rowOff>
                  </to>
                </anchor>
              </controlPr>
            </control>
          </mc:Choice>
        </mc:AlternateContent>
        <mc:AlternateContent xmlns:mc="http://schemas.openxmlformats.org/markup-compatibility/2006">
          <mc:Choice Requires="x14">
            <control shapeId="1813" r:id="rId792" name="Button 789">
              <controlPr defaultSize="0" autoFill="0" autoLine="0" autoPict="0" macro="[1]!Sheet1.deleteRow">
                <anchor moveWithCells="1" sizeWithCells="1">
                  <from>
                    <xdr:col>6</xdr:col>
                    <xdr:colOff>0</xdr:colOff>
                    <xdr:row>1360</xdr:row>
                    <xdr:rowOff>0</xdr:rowOff>
                  </from>
                  <to>
                    <xdr:col>7</xdr:col>
                    <xdr:colOff>0</xdr:colOff>
                    <xdr:row>1360</xdr:row>
                    <xdr:rowOff>133350</xdr:rowOff>
                  </to>
                </anchor>
              </controlPr>
            </control>
          </mc:Choice>
        </mc:AlternateContent>
        <mc:AlternateContent xmlns:mc="http://schemas.openxmlformats.org/markup-compatibility/2006">
          <mc:Choice Requires="x14">
            <control shapeId="1814" r:id="rId793" name="Button 790">
              <controlPr defaultSize="0" autoFill="0" autoLine="0" autoPict="0" macro="[1]!Sheet1.deleteProcedure">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1815" r:id="rId794" name="Button 791">
              <controlPr defaultSize="0" autoFill="0" autoLine="0" autoPict="0" macro="[1]!Sheet1.InsertNewTabl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816" r:id="rId795" name="Button 792">
              <controlPr defaultSize="0" autoFill="0" autoLine="0" autoPict="0" macro="[1]!Sheet1.deleteRow">
                <anchor moveWithCells="1" sizeWithCells="1">
                  <from>
                    <xdr:col>6</xdr:col>
                    <xdr:colOff>0</xdr:colOff>
                    <xdr:row>1371</xdr:row>
                    <xdr:rowOff>0</xdr:rowOff>
                  </from>
                  <to>
                    <xdr:col>7</xdr:col>
                    <xdr:colOff>0</xdr:colOff>
                    <xdr:row>1371</xdr:row>
                    <xdr:rowOff>133350</xdr:rowOff>
                  </to>
                </anchor>
              </controlPr>
            </control>
          </mc:Choice>
        </mc:AlternateContent>
        <mc:AlternateContent xmlns:mc="http://schemas.openxmlformats.org/markup-compatibility/2006">
          <mc:Choice Requires="x14">
            <control shapeId="1817" r:id="rId796" name="Button 793">
              <controlPr defaultSize="0" autoFill="0" autoLine="0" autoPict="0" macro="[1]!Sheet1.deleteProcedure">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818" r:id="rId797" name="Button 794">
              <controlPr defaultSize="0" autoFill="0" autoLine="0" autoPict="0" macro="[1]!Sheet1.InsertNewTableRow">
                <anchor moveWithCells="1" sizeWithCells="1">
                  <from>
                    <xdr:col>6</xdr:col>
                    <xdr:colOff>0</xdr:colOff>
                    <xdr:row>1381</xdr:row>
                    <xdr:rowOff>0</xdr:rowOff>
                  </from>
                  <to>
                    <xdr:col>7</xdr:col>
                    <xdr:colOff>0</xdr:colOff>
                    <xdr:row>1382</xdr:row>
                    <xdr:rowOff>0</xdr:rowOff>
                  </to>
                </anchor>
              </controlPr>
            </control>
          </mc:Choice>
        </mc:AlternateContent>
        <mc:AlternateContent xmlns:mc="http://schemas.openxmlformats.org/markup-compatibility/2006">
          <mc:Choice Requires="x14">
            <control shapeId="1819" r:id="rId798" name="Button 795">
              <controlPr defaultSize="0" autoFill="0" autoLine="0" autoPict="0" macro="[1]!Sheet1.deleteRow">
                <anchor moveWithCells="1" sizeWithCells="1">
                  <from>
                    <xdr:col>6</xdr:col>
                    <xdr:colOff>0</xdr:colOff>
                    <xdr:row>1382</xdr:row>
                    <xdr:rowOff>0</xdr:rowOff>
                  </from>
                  <to>
                    <xdr:col>7</xdr:col>
                    <xdr:colOff>0</xdr:colOff>
                    <xdr:row>1382</xdr:row>
                    <xdr:rowOff>133350</xdr:rowOff>
                  </to>
                </anchor>
              </controlPr>
            </control>
          </mc:Choice>
        </mc:AlternateContent>
        <mc:AlternateContent xmlns:mc="http://schemas.openxmlformats.org/markup-compatibility/2006">
          <mc:Choice Requires="x14">
            <control shapeId="1820" r:id="rId799" name="Button 796">
              <controlPr defaultSize="0" autoFill="0" autoLine="0" autoPict="0" macro="[1]!Sheet1.deleteRow">
                <anchor moveWithCells="1" sizeWithCells="1">
                  <from>
                    <xdr:col>6</xdr:col>
                    <xdr:colOff>0</xdr:colOff>
                    <xdr:row>1383</xdr:row>
                    <xdr:rowOff>0</xdr:rowOff>
                  </from>
                  <to>
                    <xdr:col>7</xdr:col>
                    <xdr:colOff>0</xdr:colOff>
                    <xdr:row>1383</xdr:row>
                    <xdr:rowOff>133350</xdr:rowOff>
                  </to>
                </anchor>
              </controlPr>
            </control>
          </mc:Choice>
        </mc:AlternateContent>
        <mc:AlternateContent xmlns:mc="http://schemas.openxmlformats.org/markup-compatibility/2006">
          <mc:Choice Requires="x14">
            <control shapeId="1821" r:id="rId800" name="Button 797">
              <controlPr defaultSize="0" autoFill="0" autoLine="0" autoPict="0" macro="[1]!Sheet1.deleteProcedure">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1822" r:id="rId801" name="Button 798">
              <controlPr defaultSize="0" autoFill="0" autoLine="0" autoPict="0" macro="[1]!Sheet1.InsertNewTableRow">
                <anchor moveWithCells="1" sizeWithCells="1">
                  <from>
                    <xdr:col>6</xdr:col>
                    <xdr:colOff>0</xdr:colOff>
                    <xdr:row>1393</xdr:row>
                    <xdr:rowOff>0</xdr:rowOff>
                  </from>
                  <to>
                    <xdr:col>7</xdr:col>
                    <xdr:colOff>0</xdr:colOff>
                    <xdr:row>1394</xdr:row>
                    <xdr:rowOff>0</xdr:rowOff>
                  </to>
                </anchor>
              </controlPr>
            </control>
          </mc:Choice>
        </mc:AlternateContent>
        <mc:AlternateContent xmlns:mc="http://schemas.openxmlformats.org/markup-compatibility/2006">
          <mc:Choice Requires="x14">
            <control shapeId="1823" r:id="rId802" name="Button 799">
              <controlPr defaultSize="0" autoFill="0" autoLine="0" autoPict="0" macro="[1]!Sheet1.deleteRow">
                <anchor moveWithCells="1" sizeWithCells="1">
                  <from>
                    <xdr:col>6</xdr:col>
                    <xdr:colOff>0</xdr:colOff>
                    <xdr:row>1394</xdr:row>
                    <xdr:rowOff>0</xdr:rowOff>
                  </from>
                  <to>
                    <xdr:col>7</xdr:col>
                    <xdr:colOff>0</xdr:colOff>
                    <xdr:row>1394</xdr:row>
                    <xdr:rowOff>133350</xdr:rowOff>
                  </to>
                </anchor>
              </controlPr>
            </control>
          </mc:Choice>
        </mc:AlternateContent>
        <mc:AlternateContent xmlns:mc="http://schemas.openxmlformats.org/markup-compatibility/2006">
          <mc:Choice Requires="x14">
            <control shapeId="1824" r:id="rId803" name="Button 800">
              <controlPr defaultSize="0" autoFill="0" autoLine="0" autoPict="0" macro="[1]!Sheet1.deleteProcedure">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825" r:id="rId804" name="Button 801">
              <controlPr defaultSize="0" autoFill="0" autoLine="0" autoPict="0" macro="[1]!Sheet1.InsertNewTableRow">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826" r:id="rId805" name="Button 802">
              <controlPr defaultSize="0" autoFill="0" autoLine="0" autoPict="0" macro="[1]!Sheet1.deleteRow">
                <anchor moveWithCells="1" sizeWithCells="1">
                  <from>
                    <xdr:col>6</xdr:col>
                    <xdr:colOff>0</xdr:colOff>
                    <xdr:row>1405</xdr:row>
                    <xdr:rowOff>0</xdr:rowOff>
                  </from>
                  <to>
                    <xdr:col>7</xdr:col>
                    <xdr:colOff>0</xdr:colOff>
                    <xdr:row>1405</xdr:row>
                    <xdr:rowOff>133350</xdr:rowOff>
                  </to>
                </anchor>
              </controlPr>
            </control>
          </mc:Choice>
        </mc:AlternateContent>
        <mc:AlternateContent xmlns:mc="http://schemas.openxmlformats.org/markup-compatibility/2006">
          <mc:Choice Requires="x14">
            <control shapeId="1827" r:id="rId806" name="Button 803">
              <controlPr defaultSize="0" autoFill="0" autoLine="0" autoPict="0" macro="[1]!Sheet1.deleteRow">
                <anchor moveWithCells="1" sizeWithCells="1">
                  <from>
                    <xdr:col>6</xdr:col>
                    <xdr:colOff>0</xdr:colOff>
                    <xdr:row>1406</xdr:row>
                    <xdr:rowOff>0</xdr:rowOff>
                  </from>
                  <to>
                    <xdr:col>7</xdr:col>
                    <xdr:colOff>0</xdr:colOff>
                    <xdr:row>1406</xdr:row>
                    <xdr:rowOff>133350</xdr:rowOff>
                  </to>
                </anchor>
              </controlPr>
            </control>
          </mc:Choice>
        </mc:AlternateContent>
        <mc:AlternateContent xmlns:mc="http://schemas.openxmlformats.org/markup-compatibility/2006">
          <mc:Choice Requires="x14">
            <control shapeId="1828" r:id="rId807" name="Button 804">
              <controlPr defaultSize="0" autoFill="0" autoLine="0" autoPict="0" macro="[1]!Sheet1.deleteRow">
                <anchor moveWithCells="1" sizeWithCells="1">
                  <from>
                    <xdr:col>6</xdr:col>
                    <xdr:colOff>0</xdr:colOff>
                    <xdr:row>1407</xdr:row>
                    <xdr:rowOff>0</xdr:rowOff>
                  </from>
                  <to>
                    <xdr:col>7</xdr:col>
                    <xdr:colOff>0</xdr:colOff>
                    <xdr:row>1407</xdr:row>
                    <xdr:rowOff>133350</xdr:rowOff>
                  </to>
                </anchor>
              </controlPr>
            </control>
          </mc:Choice>
        </mc:AlternateContent>
        <mc:AlternateContent xmlns:mc="http://schemas.openxmlformats.org/markup-compatibility/2006">
          <mc:Choice Requires="x14">
            <control shapeId="1829" r:id="rId808" name="Button 805">
              <controlPr defaultSize="0" autoFill="0" autoLine="0" autoPict="0" macro="[1]!Sheet1.deleteProcedure">
                <anchor moveWithCells="1" sizeWithCells="1">
                  <from>
                    <xdr:col>6</xdr:col>
                    <xdr:colOff>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1830" r:id="rId809" name="Button 806">
              <controlPr defaultSize="0" autoFill="0" autoLine="0" autoPict="0" macro="[1]!Sheet1.InsertNewTableRow">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831" r:id="rId810" name="Button 807">
              <controlPr defaultSize="0" autoFill="0" autoLine="0" autoPict="0" macro="[1]!Sheet1.deleteRow">
                <anchor moveWithCells="1" sizeWithCells="1">
                  <from>
                    <xdr:col>6</xdr:col>
                    <xdr:colOff>0</xdr:colOff>
                    <xdr:row>1418</xdr:row>
                    <xdr:rowOff>0</xdr:rowOff>
                  </from>
                  <to>
                    <xdr:col>7</xdr:col>
                    <xdr:colOff>0</xdr:colOff>
                    <xdr:row>1418</xdr:row>
                    <xdr:rowOff>133350</xdr:rowOff>
                  </to>
                </anchor>
              </controlPr>
            </control>
          </mc:Choice>
        </mc:AlternateContent>
        <mc:AlternateContent xmlns:mc="http://schemas.openxmlformats.org/markup-compatibility/2006">
          <mc:Choice Requires="x14">
            <control shapeId="1832" r:id="rId811" name="Button 808">
              <controlPr defaultSize="0" autoFill="0" autoLine="0" autoPict="0" macro="[1]!Sheet1.deleteRow">
                <anchor moveWithCells="1" sizeWithCells="1">
                  <from>
                    <xdr:col>6</xdr:col>
                    <xdr:colOff>0</xdr:colOff>
                    <xdr:row>1419</xdr:row>
                    <xdr:rowOff>0</xdr:rowOff>
                  </from>
                  <to>
                    <xdr:col>7</xdr:col>
                    <xdr:colOff>0</xdr:colOff>
                    <xdr:row>1419</xdr:row>
                    <xdr:rowOff>133350</xdr:rowOff>
                  </to>
                </anchor>
              </controlPr>
            </control>
          </mc:Choice>
        </mc:AlternateContent>
        <mc:AlternateContent xmlns:mc="http://schemas.openxmlformats.org/markup-compatibility/2006">
          <mc:Choice Requires="x14">
            <control shapeId="1833" r:id="rId812" name="Button 809">
              <controlPr defaultSize="0" autoFill="0" autoLine="0" autoPict="0" macro="[1]!Sheet1.deleteRow">
                <anchor moveWithCells="1" sizeWithCells="1">
                  <from>
                    <xdr:col>6</xdr:col>
                    <xdr:colOff>0</xdr:colOff>
                    <xdr:row>1420</xdr:row>
                    <xdr:rowOff>0</xdr:rowOff>
                  </from>
                  <to>
                    <xdr:col>7</xdr:col>
                    <xdr:colOff>0</xdr:colOff>
                    <xdr:row>1420</xdr:row>
                    <xdr:rowOff>133350</xdr:rowOff>
                  </to>
                </anchor>
              </controlPr>
            </control>
          </mc:Choice>
        </mc:AlternateContent>
        <mc:AlternateContent xmlns:mc="http://schemas.openxmlformats.org/markup-compatibility/2006">
          <mc:Choice Requires="x14">
            <control shapeId="1834" r:id="rId813" name="Button 810">
              <controlPr defaultSize="0" autoFill="0" autoLine="0" autoPict="0" macro="[1]!Sheet1.deleteRow">
                <anchor moveWithCells="1" sizeWithCells="1">
                  <from>
                    <xdr:col>6</xdr:col>
                    <xdr:colOff>0</xdr:colOff>
                    <xdr:row>1421</xdr:row>
                    <xdr:rowOff>0</xdr:rowOff>
                  </from>
                  <to>
                    <xdr:col>7</xdr:col>
                    <xdr:colOff>0</xdr:colOff>
                    <xdr:row>1421</xdr:row>
                    <xdr:rowOff>133350</xdr:rowOff>
                  </to>
                </anchor>
              </controlPr>
            </control>
          </mc:Choice>
        </mc:AlternateContent>
        <mc:AlternateContent xmlns:mc="http://schemas.openxmlformats.org/markup-compatibility/2006">
          <mc:Choice Requires="x14">
            <control shapeId="1835" r:id="rId814" name="Button 811">
              <controlPr defaultSize="0" autoFill="0" autoLine="0" autoPict="0" macro="[1]!Sheet1.deleteRow">
                <anchor moveWithCells="1" sizeWithCells="1">
                  <from>
                    <xdr:col>6</xdr:col>
                    <xdr:colOff>0</xdr:colOff>
                    <xdr:row>1422</xdr:row>
                    <xdr:rowOff>0</xdr:rowOff>
                  </from>
                  <to>
                    <xdr:col>7</xdr:col>
                    <xdr:colOff>0</xdr:colOff>
                    <xdr:row>1422</xdr:row>
                    <xdr:rowOff>133350</xdr:rowOff>
                  </to>
                </anchor>
              </controlPr>
            </control>
          </mc:Choice>
        </mc:AlternateContent>
        <mc:AlternateContent xmlns:mc="http://schemas.openxmlformats.org/markup-compatibility/2006">
          <mc:Choice Requires="x14">
            <control shapeId="1836" r:id="rId815" name="Button 812">
              <controlPr defaultSize="0" autoFill="0" autoLine="0" autoPict="0" macro="[1]!Sheet1.deleteProcedure">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837" r:id="rId816" name="Button 813">
              <controlPr defaultSize="0" autoFill="0" autoLine="0" autoPict="0" macro="[1]!Sheet1.InsertNewTableRow">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1838" r:id="rId817" name="Button 814">
              <controlPr defaultSize="0" autoFill="0" autoLine="0" autoPict="0" macro="[1]!Sheet1.deleteRow">
                <anchor moveWithCells="1" sizeWithCells="1">
                  <from>
                    <xdr:col>6</xdr:col>
                    <xdr:colOff>0</xdr:colOff>
                    <xdr:row>1433</xdr:row>
                    <xdr:rowOff>0</xdr:rowOff>
                  </from>
                  <to>
                    <xdr:col>7</xdr:col>
                    <xdr:colOff>0</xdr:colOff>
                    <xdr:row>1433</xdr:row>
                    <xdr:rowOff>133350</xdr:rowOff>
                  </to>
                </anchor>
              </controlPr>
            </control>
          </mc:Choice>
        </mc:AlternateContent>
        <mc:AlternateContent xmlns:mc="http://schemas.openxmlformats.org/markup-compatibility/2006">
          <mc:Choice Requires="x14">
            <control shapeId="1839" r:id="rId818" name="Button 815">
              <controlPr defaultSize="0" autoFill="0" autoLine="0" autoPict="0" macro="[1]!Sheet1.deleteRow">
                <anchor moveWithCells="1" sizeWithCells="1">
                  <from>
                    <xdr:col>6</xdr:col>
                    <xdr:colOff>0</xdr:colOff>
                    <xdr:row>1434</xdr:row>
                    <xdr:rowOff>0</xdr:rowOff>
                  </from>
                  <to>
                    <xdr:col>7</xdr:col>
                    <xdr:colOff>0</xdr:colOff>
                    <xdr:row>1434</xdr:row>
                    <xdr:rowOff>133350</xdr:rowOff>
                  </to>
                </anchor>
              </controlPr>
            </control>
          </mc:Choice>
        </mc:AlternateContent>
        <mc:AlternateContent xmlns:mc="http://schemas.openxmlformats.org/markup-compatibility/2006">
          <mc:Choice Requires="x14">
            <control shapeId="1840" r:id="rId819" name="Button 816">
              <controlPr defaultSize="0" autoFill="0" autoLine="0" autoPict="0" macro="[1]!Sheet1.deleteRow">
                <anchor moveWithCells="1" sizeWithCells="1">
                  <from>
                    <xdr:col>6</xdr:col>
                    <xdr:colOff>0</xdr:colOff>
                    <xdr:row>1435</xdr:row>
                    <xdr:rowOff>0</xdr:rowOff>
                  </from>
                  <to>
                    <xdr:col>7</xdr:col>
                    <xdr:colOff>0</xdr:colOff>
                    <xdr:row>1435</xdr:row>
                    <xdr:rowOff>133350</xdr:rowOff>
                  </to>
                </anchor>
              </controlPr>
            </control>
          </mc:Choice>
        </mc:AlternateContent>
        <mc:AlternateContent xmlns:mc="http://schemas.openxmlformats.org/markup-compatibility/2006">
          <mc:Choice Requires="x14">
            <control shapeId="1841" r:id="rId820" name="Button 817">
              <controlPr defaultSize="0" autoFill="0" autoLine="0" autoPict="0" macro="[1]!Sheet1.deleteRow">
                <anchor moveWithCells="1" sizeWithCells="1">
                  <from>
                    <xdr:col>6</xdr:col>
                    <xdr:colOff>0</xdr:colOff>
                    <xdr:row>1436</xdr:row>
                    <xdr:rowOff>0</xdr:rowOff>
                  </from>
                  <to>
                    <xdr:col>7</xdr:col>
                    <xdr:colOff>0</xdr:colOff>
                    <xdr:row>1436</xdr:row>
                    <xdr:rowOff>133350</xdr:rowOff>
                  </to>
                </anchor>
              </controlPr>
            </control>
          </mc:Choice>
        </mc:AlternateContent>
        <mc:AlternateContent xmlns:mc="http://schemas.openxmlformats.org/markup-compatibility/2006">
          <mc:Choice Requires="x14">
            <control shapeId="1842" r:id="rId821" name="Button 818">
              <controlPr defaultSize="0" autoFill="0" autoLine="0" autoPict="0" macro="[1]!Sheet1.deleteRow">
                <anchor moveWithCells="1" sizeWithCells="1">
                  <from>
                    <xdr:col>6</xdr:col>
                    <xdr:colOff>0</xdr:colOff>
                    <xdr:row>1437</xdr:row>
                    <xdr:rowOff>0</xdr:rowOff>
                  </from>
                  <to>
                    <xdr:col>7</xdr:col>
                    <xdr:colOff>0</xdr:colOff>
                    <xdr:row>1437</xdr:row>
                    <xdr:rowOff>133350</xdr:rowOff>
                  </to>
                </anchor>
              </controlPr>
            </control>
          </mc:Choice>
        </mc:AlternateContent>
        <mc:AlternateContent xmlns:mc="http://schemas.openxmlformats.org/markup-compatibility/2006">
          <mc:Choice Requires="x14">
            <control shapeId="1843" r:id="rId822" name="Button 819">
              <controlPr defaultSize="0" autoFill="0" autoLine="0" autoPict="0" macro="[1]!Sheet1.deleteProcedure">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1844" r:id="rId823" name="Button 820">
              <controlPr defaultSize="0" autoFill="0" autoLine="0" autoPict="0" macro="[1]!Sheet1.InsertNewTabl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1845" r:id="rId824" name="Button 821">
              <controlPr defaultSize="0" autoFill="0" autoLine="0" autoPict="0" macro="[1]!Sheet1.deleteRow">
                <anchor moveWithCells="1" sizeWithCells="1">
                  <from>
                    <xdr:col>6</xdr:col>
                    <xdr:colOff>0</xdr:colOff>
                    <xdr:row>1448</xdr:row>
                    <xdr:rowOff>0</xdr:rowOff>
                  </from>
                  <to>
                    <xdr:col>7</xdr:col>
                    <xdr:colOff>0</xdr:colOff>
                    <xdr:row>1448</xdr:row>
                    <xdr:rowOff>133350</xdr:rowOff>
                  </to>
                </anchor>
              </controlPr>
            </control>
          </mc:Choice>
        </mc:AlternateContent>
        <mc:AlternateContent xmlns:mc="http://schemas.openxmlformats.org/markup-compatibility/2006">
          <mc:Choice Requires="x14">
            <control shapeId="1846" r:id="rId825" name="Button 822">
              <controlPr defaultSize="0" autoFill="0" autoLine="0" autoPict="0" macro="[1]!Sheet1.deleteRow">
                <anchor moveWithCells="1" sizeWithCells="1">
                  <from>
                    <xdr:col>6</xdr:col>
                    <xdr:colOff>0</xdr:colOff>
                    <xdr:row>1449</xdr:row>
                    <xdr:rowOff>0</xdr:rowOff>
                  </from>
                  <to>
                    <xdr:col>7</xdr:col>
                    <xdr:colOff>0</xdr:colOff>
                    <xdr:row>1449</xdr:row>
                    <xdr:rowOff>133350</xdr:rowOff>
                  </to>
                </anchor>
              </controlPr>
            </control>
          </mc:Choice>
        </mc:AlternateContent>
        <mc:AlternateContent xmlns:mc="http://schemas.openxmlformats.org/markup-compatibility/2006">
          <mc:Choice Requires="x14">
            <control shapeId="1847" r:id="rId826" name="Button 823">
              <controlPr defaultSize="0" autoFill="0" autoLine="0" autoPict="0" macro="[1]!Sheet1.deleteRow">
                <anchor moveWithCells="1" sizeWithCells="1">
                  <from>
                    <xdr:col>6</xdr:col>
                    <xdr:colOff>0</xdr:colOff>
                    <xdr:row>1450</xdr:row>
                    <xdr:rowOff>0</xdr:rowOff>
                  </from>
                  <to>
                    <xdr:col>7</xdr:col>
                    <xdr:colOff>0</xdr:colOff>
                    <xdr:row>1450</xdr:row>
                    <xdr:rowOff>133350</xdr:rowOff>
                  </to>
                </anchor>
              </controlPr>
            </control>
          </mc:Choice>
        </mc:AlternateContent>
        <mc:AlternateContent xmlns:mc="http://schemas.openxmlformats.org/markup-compatibility/2006">
          <mc:Choice Requires="x14">
            <control shapeId="1848" r:id="rId827" name="Button 824">
              <controlPr defaultSize="0" autoFill="0" autoLine="0" autoPict="0" macro="[1]!Sheet1.deleteRow">
                <anchor moveWithCells="1" sizeWithCells="1">
                  <from>
                    <xdr:col>6</xdr:col>
                    <xdr:colOff>0</xdr:colOff>
                    <xdr:row>1451</xdr:row>
                    <xdr:rowOff>0</xdr:rowOff>
                  </from>
                  <to>
                    <xdr:col>7</xdr:col>
                    <xdr:colOff>0</xdr:colOff>
                    <xdr:row>1451</xdr:row>
                    <xdr:rowOff>133350</xdr:rowOff>
                  </to>
                </anchor>
              </controlPr>
            </control>
          </mc:Choice>
        </mc:AlternateContent>
        <mc:AlternateContent xmlns:mc="http://schemas.openxmlformats.org/markup-compatibility/2006">
          <mc:Choice Requires="x14">
            <control shapeId="1849" r:id="rId828" name="Button 825">
              <controlPr defaultSize="0" autoFill="0" autoLine="0" autoPict="0" macro="[1]!Sheet1.deleteRow">
                <anchor moveWithCells="1" sizeWithCells="1">
                  <from>
                    <xdr:col>6</xdr:col>
                    <xdr:colOff>0</xdr:colOff>
                    <xdr:row>1452</xdr:row>
                    <xdr:rowOff>0</xdr:rowOff>
                  </from>
                  <to>
                    <xdr:col>7</xdr:col>
                    <xdr:colOff>0</xdr:colOff>
                    <xdr:row>1452</xdr:row>
                    <xdr:rowOff>133350</xdr:rowOff>
                  </to>
                </anchor>
              </controlPr>
            </control>
          </mc:Choice>
        </mc:AlternateContent>
        <mc:AlternateContent xmlns:mc="http://schemas.openxmlformats.org/markup-compatibility/2006">
          <mc:Choice Requires="x14">
            <control shapeId="1850" r:id="rId829" name="Button 826">
              <controlPr defaultSize="0" autoFill="0" autoLine="0" autoPict="0" macro="[1]!Sheet1.deleteProcedure">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1851" r:id="rId830" name="Button 827">
              <controlPr defaultSize="0" autoFill="0" autoLine="0" autoPict="0" macro="[1]!Sheet1.InsertNewTabl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1852" r:id="rId831" name="Button 828">
              <controlPr defaultSize="0" autoFill="0" autoLine="0" autoPict="0" macro="[1]!Sheet1.deleteRow">
                <anchor moveWithCells="1" sizeWithCells="1">
                  <from>
                    <xdr:col>6</xdr:col>
                    <xdr:colOff>0</xdr:colOff>
                    <xdr:row>1463</xdr:row>
                    <xdr:rowOff>0</xdr:rowOff>
                  </from>
                  <to>
                    <xdr:col>7</xdr:col>
                    <xdr:colOff>0</xdr:colOff>
                    <xdr:row>1463</xdr:row>
                    <xdr:rowOff>133350</xdr:rowOff>
                  </to>
                </anchor>
              </controlPr>
            </control>
          </mc:Choice>
        </mc:AlternateContent>
        <mc:AlternateContent xmlns:mc="http://schemas.openxmlformats.org/markup-compatibility/2006">
          <mc:Choice Requires="x14">
            <control shapeId="1853" r:id="rId832" name="Button 829">
              <controlPr defaultSize="0" autoFill="0" autoLine="0" autoPict="0" macro="[1]!Sheet1.deleteRow">
                <anchor moveWithCells="1" sizeWithCells="1">
                  <from>
                    <xdr:col>6</xdr:col>
                    <xdr:colOff>0</xdr:colOff>
                    <xdr:row>1464</xdr:row>
                    <xdr:rowOff>0</xdr:rowOff>
                  </from>
                  <to>
                    <xdr:col>7</xdr:col>
                    <xdr:colOff>0</xdr:colOff>
                    <xdr:row>1464</xdr:row>
                    <xdr:rowOff>133350</xdr:rowOff>
                  </to>
                </anchor>
              </controlPr>
            </control>
          </mc:Choice>
        </mc:AlternateContent>
        <mc:AlternateContent xmlns:mc="http://schemas.openxmlformats.org/markup-compatibility/2006">
          <mc:Choice Requires="x14">
            <control shapeId="1854" r:id="rId833" name="Button 830">
              <controlPr defaultSize="0" autoFill="0" autoLine="0" autoPict="0" macro="[1]!Sheet1.deleteRow">
                <anchor moveWithCells="1" sizeWithCells="1">
                  <from>
                    <xdr:col>6</xdr:col>
                    <xdr:colOff>0</xdr:colOff>
                    <xdr:row>1465</xdr:row>
                    <xdr:rowOff>0</xdr:rowOff>
                  </from>
                  <to>
                    <xdr:col>7</xdr:col>
                    <xdr:colOff>0</xdr:colOff>
                    <xdr:row>1465</xdr:row>
                    <xdr:rowOff>133350</xdr:rowOff>
                  </to>
                </anchor>
              </controlPr>
            </control>
          </mc:Choice>
        </mc:AlternateContent>
        <mc:AlternateContent xmlns:mc="http://schemas.openxmlformats.org/markup-compatibility/2006">
          <mc:Choice Requires="x14">
            <control shapeId="1855" r:id="rId834" name="Button 831">
              <controlPr defaultSize="0" autoFill="0" autoLine="0" autoPict="0" macro="[1]!Sheet1.deleteRow">
                <anchor moveWithCells="1" sizeWithCells="1">
                  <from>
                    <xdr:col>6</xdr:col>
                    <xdr:colOff>0</xdr:colOff>
                    <xdr:row>1466</xdr:row>
                    <xdr:rowOff>0</xdr:rowOff>
                  </from>
                  <to>
                    <xdr:col>7</xdr:col>
                    <xdr:colOff>0</xdr:colOff>
                    <xdr:row>1466</xdr:row>
                    <xdr:rowOff>133350</xdr:rowOff>
                  </to>
                </anchor>
              </controlPr>
            </control>
          </mc:Choice>
        </mc:AlternateContent>
        <mc:AlternateContent xmlns:mc="http://schemas.openxmlformats.org/markup-compatibility/2006">
          <mc:Choice Requires="x14">
            <control shapeId="1856" r:id="rId835" name="Button 832">
              <controlPr defaultSize="0" autoFill="0" autoLine="0" autoPict="0" macro="[1]!Sheet1.deleteRow">
                <anchor moveWithCells="1" sizeWithCells="1">
                  <from>
                    <xdr:col>6</xdr:col>
                    <xdr:colOff>0</xdr:colOff>
                    <xdr:row>1467</xdr:row>
                    <xdr:rowOff>0</xdr:rowOff>
                  </from>
                  <to>
                    <xdr:col>7</xdr:col>
                    <xdr:colOff>0</xdr:colOff>
                    <xdr:row>1467</xdr:row>
                    <xdr:rowOff>133350</xdr:rowOff>
                  </to>
                </anchor>
              </controlPr>
            </control>
          </mc:Choice>
        </mc:AlternateContent>
        <mc:AlternateContent xmlns:mc="http://schemas.openxmlformats.org/markup-compatibility/2006">
          <mc:Choice Requires="x14">
            <control shapeId="1857" r:id="rId836" name="Button 833">
              <controlPr defaultSize="0" autoFill="0" autoLine="0" autoPict="0" macro="[1]!Sheet1.deleteProcedure">
                <anchor moveWithCells="1" sizeWithCells="1">
                  <from>
                    <xdr:col>6</xdr:col>
                    <xdr:colOff>0</xdr:colOff>
                    <xdr:row>1470</xdr:row>
                    <xdr:rowOff>0</xdr:rowOff>
                  </from>
                  <to>
                    <xdr:col>7</xdr:col>
                    <xdr:colOff>0</xdr:colOff>
                    <xdr:row>1471</xdr:row>
                    <xdr:rowOff>0</xdr:rowOff>
                  </to>
                </anchor>
              </controlPr>
            </control>
          </mc:Choice>
        </mc:AlternateContent>
        <mc:AlternateContent xmlns:mc="http://schemas.openxmlformats.org/markup-compatibility/2006">
          <mc:Choice Requires="x14">
            <control shapeId="1858" r:id="rId837" name="Button 834">
              <controlPr defaultSize="0" autoFill="0" autoLine="0" autoPict="0" macro="[1]!Sheet1.InsertNewTableRow">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1859" r:id="rId838" name="Button 835">
              <controlPr defaultSize="0" autoFill="0" autoLine="0" autoPict="0" macro="[1]!Sheet1.deleteRow">
                <anchor moveWithCells="1" sizeWithCells="1">
                  <from>
                    <xdr:col>6</xdr:col>
                    <xdr:colOff>0</xdr:colOff>
                    <xdr:row>1478</xdr:row>
                    <xdr:rowOff>0</xdr:rowOff>
                  </from>
                  <to>
                    <xdr:col>7</xdr:col>
                    <xdr:colOff>0</xdr:colOff>
                    <xdr:row>1478</xdr:row>
                    <xdr:rowOff>133350</xdr:rowOff>
                  </to>
                </anchor>
              </controlPr>
            </control>
          </mc:Choice>
        </mc:AlternateContent>
        <mc:AlternateContent xmlns:mc="http://schemas.openxmlformats.org/markup-compatibility/2006">
          <mc:Choice Requires="x14">
            <control shapeId="1860" r:id="rId839" name="Button 836">
              <controlPr defaultSize="0" autoFill="0" autoLine="0" autoPict="0" macro="[1]!Sheet1.deleteProcedure">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1861" r:id="rId840" name="Button 837">
              <controlPr defaultSize="0" autoFill="0" autoLine="0" autoPict="0" macro="[1]!Sheet1.InsertNewTableRow">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862" r:id="rId841" name="Button 838">
              <controlPr defaultSize="0" autoFill="0" autoLine="0" autoPict="0" macro="[1]!Sheet1.deleteRow">
                <anchor moveWithCells="1" sizeWithCells="1">
                  <from>
                    <xdr:col>6</xdr:col>
                    <xdr:colOff>0</xdr:colOff>
                    <xdr:row>1489</xdr:row>
                    <xdr:rowOff>0</xdr:rowOff>
                  </from>
                  <to>
                    <xdr:col>7</xdr:col>
                    <xdr:colOff>0</xdr:colOff>
                    <xdr:row>1489</xdr:row>
                    <xdr:rowOff>133350</xdr:rowOff>
                  </to>
                </anchor>
              </controlPr>
            </control>
          </mc:Choice>
        </mc:AlternateContent>
        <mc:AlternateContent xmlns:mc="http://schemas.openxmlformats.org/markup-compatibility/2006">
          <mc:Choice Requires="x14">
            <control shapeId="1863" r:id="rId842" name="Button 839">
              <controlPr defaultSize="0" autoFill="0" autoLine="0" autoPict="0" macro="[1]!Sheet1.deleteRow">
                <anchor moveWithCells="1" sizeWithCells="1">
                  <from>
                    <xdr:col>6</xdr:col>
                    <xdr:colOff>0</xdr:colOff>
                    <xdr:row>1490</xdr:row>
                    <xdr:rowOff>0</xdr:rowOff>
                  </from>
                  <to>
                    <xdr:col>7</xdr:col>
                    <xdr:colOff>0</xdr:colOff>
                    <xdr:row>1490</xdr:row>
                    <xdr:rowOff>133350</xdr:rowOff>
                  </to>
                </anchor>
              </controlPr>
            </control>
          </mc:Choice>
        </mc:AlternateContent>
        <mc:AlternateContent xmlns:mc="http://schemas.openxmlformats.org/markup-compatibility/2006">
          <mc:Choice Requires="x14">
            <control shapeId="1864" r:id="rId843" name="Button 840">
              <controlPr defaultSize="0" autoFill="0" autoLine="0" autoPict="0" macro="[1]!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865" r:id="rId844" name="Button 841">
              <controlPr defaultSize="0" autoFill="0" autoLine="0" autoPict="0" macro="[1]!Sheet1.InsertNewTableRow">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866" r:id="rId845" name="Button 842">
              <controlPr defaultSize="0" autoFill="0" autoLine="0" autoPict="0" macro="[1]!Sheet1.deleteRow">
                <anchor moveWithCells="1" sizeWithCells="1">
                  <from>
                    <xdr:col>6</xdr:col>
                    <xdr:colOff>0</xdr:colOff>
                    <xdr:row>1501</xdr:row>
                    <xdr:rowOff>0</xdr:rowOff>
                  </from>
                  <to>
                    <xdr:col>7</xdr:col>
                    <xdr:colOff>0</xdr:colOff>
                    <xdr:row>1501</xdr:row>
                    <xdr:rowOff>133350</xdr:rowOff>
                  </to>
                </anchor>
              </controlPr>
            </control>
          </mc:Choice>
        </mc:AlternateContent>
        <mc:AlternateContent xmlns:mc="http://schemas.openxmlformats.org/markup-compatibility/2006">
          <mc:Choice Requires="x14">
            <control shapeId="1867" r:id="rId846" name="Button 843">
              <controlPr defaultSize="0" autoFill="0" autoLine="0" autoPict="0" macro="[1]!Sheet1.deleteRow">
                <anchor moveWithCells="1" sizeWithCells="1">
                  <from>
                    <xdr:col>6</xdr:col>
                    <xdr:colOff>0</xdr:colOff>
                    <xdr:row>1502</xdr:row>
                    <xdr:rowOff>0</xdr:rowOff>
                  </from>
                  <to>
                    <xdr:col>7</xdr:col>
                    <xdr:colOff>0</xdr:colOff>
                    <xdr:row>1502</xdr:row>
                    <xdr:rowOff>133350</xdr:rowOff>
                  </to>
                </anchor>
              </controlPr>
            </control>
          </mc:Choice>
        </mc:AlternateContent>
        <mc:AlternateContent xmlns:mc="http://schemas.openxmlformats.org/markup-compatibility/2006">
          <mc:Choice Requires="x14">
            <control shapeId="1868" r:id="rId847" name="Button 844">
              <controlPr defaultSize="0" autoFill="0" autoLine="0" autoPict="0" macro="[1]!Sheet1.deleteProcedure">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1869" r:id="rId848" name="Button 845">
              <controlPr defaultSize="0" autoFill="0" autoLine="0" autoPict="0" macro="[1]!Sheet1.InsertNewTableRow">
                <anchor moveWithCells="1" sizeWithCells="1">
                  <from>
                    <xdr:col>6</xdr:col>
                    <xdr:colOff>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870" r:id="rId849" name="Button 846">
              <controlPr defaultSize="0" autoFill="0" autoLine="0" autoPict="0" macro="[1]!Sheet1.deleteRow">
                <anchor moveWithCells="1" sizeWithCells="1">
                  <from>
                    <xdr:col>6</xdr:col>
                    <xdr:colOff>0</xdr:colOff>
                    <xdr:row>1513</xdr:row>
                    <xdr:rowOff>0</xdr:rowOff>
                  </from>
                  <to>
                    <xdr:col>7</xdr:col>
                    <xdr:colOff>0</xdr:colOff>
                    <xdr:row>1513</xdr:row>
                    <xdr:rowOff>133350</xdr:rowOff>
                  </to>
                </anchor>
              </controlPr>
            </control>
          </mc:Choice>
        </mc:AlternateContent>
        <mc:AlternateContent xmlns:mc="http://schemas.openxmlformats.org/markup-compatibility/2006">
          <mc:Choice Requires="x14">
            <control shapeId="1871" r:id="rId850" name="Button 847">
              <controlPr defaultSize="0" autoFill="0" autoLine="0" autoPict="0" macro="[1]!Sheet1.deleteRow">
                <anchor moveWithCells="1" sizeWithCells="1">
                  <from>
                    <xdr:col>6</xdr:col>
                    <xdr:colOff>0</xdr:colOff>
                    <xdr:row>1514</xdr:row>
                    <xdr:rowOff>0</xdr:rowOff>
                  </from>
                  <to>
                    <xdr:col>7</xdr:col>
                    <xdr:colOff>0</xdr:colOff>
                    <xdr:row>1514</xdr:row>
                    <xdr:rowOff>133350</xdr:rowOff>
                  </to>
                </anchor>
              </controlPr>
            </control>
          </mc:Choice>
        </mc:AlternateContent>
        <mc:AlternateContent xmlns:mc="http://schemas.openxmlformats.org/markup-compatibility/2006">
          <mc:Choice Requires="x14">
            <control shapeId="1872" r:id="rId851" name="Button 848">
              <controlPr defaultSize="0" autoFill="0" autoLine="0" autoPict="0" macro="[1]!Sheet1.deleteRow">
                <anchor moveWithCells="1" sizeWithCells="1">
                  <from>
                    <xdr:col>6</xdr:col>
                    <xdr:colOff>0</xdr:colOff>
                    <xdr:row>1515</xdr:row>
                    <xdr:rowOff>0</xdr:rowOff>
                  </from>
                  <to>
                    <xdr:col>7</xdr:col>
                    <xdr:colOff>0</xdr:colOff>
                    <xdr:row>1515</xdr:row>
                    <xdr:rowOff>133350</xdr:rowOff>
                  </to>
                </anchor>
              </controlPr>
            </control>
          </mc:Choice>
        </mc:AlternateContent>
        <mc:AlternateContent xmlns:mc="http://schemas.openxmlformats.org/markup-compatibility/2006">
          <mc:Choice Requires="x14">
            <control shapeId="1873" r:id="rId852" name="Button 849">
              <controlPr defaultSize="0" autoFill="0" autoLine="0" autoPict="0" macro="[1]!Sheet1.deleteRow">
                <anchor moveWithCells="1" sizeWithCells="1">
                  <from>
                    <xdr:col>6</xdr:col>
                    <xdr:colOff>0</xdr:colOff>
                    <xdr:row>1516</xdr:row>
                    <xdr:rowOff>0</xdr:rowOff>
                  </from>
                  <to>
                    <xdr:col>7</xdr:col>
                    <xdr:colOff>0</xdr:colOff>
                    <xdr:row>1516</xdr:row>
                    <xdr:rowOff>133350</xdr:rowOff>
                  </to>
                </anchor>
              </controlPr>
            </control>
          </mc:Choice>
        </mc:AlternateContent>
        <mc:AlternateContent xmlns:mc="http://schemas.openxmlformats.org/markup-compatibility/2006">
          <mc:Choice Requires="x14">
            <control shapeId="1874" r:id="rId853" name="Button 850">
              <controlPr defaultSize="0" autoFill="0" autoLine="0" autoPict="0" macro="[1]!Sheet1.deleteProcedure">
                <anchor moveWithCells="1" sizeWithCells="1">
                  <from>
                    <xdr:col>6</xdr:col>
                    <xdr:colOff>0</xdr:colOff>
                    <xdr:row>1519</xdr:row>
                    <xdr:rowOff>0</xdr:rowOff>
                  </from>
                  <to>
                    <xdr:col>7</xdr:col>
                    <xdr:colOff>0</xdr:colOff>
                    <xdr:row>1520</xdr:row>
                    <xdr:rowOff>0</xdr:rowOff>
                  </to>
                </anchor>
              </controlPr>
            </control>
          </mc:Choice>
        </mc:AlternateContent>
        <mc:AlternateContent xmlns:mc="http://schemas.openxmlformats.org/markup-compatibility/2006">
          <mc:Choice Requires="x14">
            <control shapeId="1875" r:id="rId854" name="Button 851">
              <controlPr defaultSize="0" autoFill="0" autoLine="0" autoPict="0" macro="[1]!Sheet1.InsertNewTableRow">
                <anchor moveWithCells="1" sizeWithCells="1">
                  <from>
                    <xdr:col>6</xdr:col>
                    <xdr:colOff>0</xdr:colOff>
                    <xdr:row>1526</xdr:row>
                    <xdr:rowOff>0</xdr:rowOff>
                  </from>
                  <to>
                    <xdr:col>7</xdr:col>
                    <xdr:colOff>0</xdr:colOff>
                    <xdr:row>1527</xdr:row>
                    <xdr:rowOff>0</xdr:rowOff>
                  </to>
                </anchor>
              </controlPr>
            </control>
          </mc:Choice>
        </mc:AlternateContent>
        <mc:AlternateContent xmlns:mc="http://schemas.openxmlformats.org/markup-compatibility/2006">
          <mc:Choice Requires="x14">
            <control shapeId="1876" r:id="rId855" name="Button 852">
              <controlPr defaultSize="0" autoFill="0" autoLine="0" autoPict="0" macro="[1]!Sheet1.deleteRow">
                <anchor moveWithCells="1" sizeWithCells="1">
                  <from>
                    <xdr:col>6</xdr:col>
                    <xdr:colOff>0</xdr:colOff>
                    <xdr:row>1527</xdr:row>
                    <xdr:rowOff>0</xdr:rowOff>
                  </from>
                  <to>
                    <xdr:col>7</xdr:col>
                    <xdr:colOff>0</xdr:colOff>
                    <xdr:row>1527</xdr:row>
                    <xdr:rowOff>133350</xdr:rowOff>
                  </to>
                </anchor>
              </controlPr>
            </control>
          </mc:Choice>
        </mc:AlternateContent>
        <mc:AlternateContent xmlns:mc="http://schemas.openxmlformats.org/markup-compatibility/2006">
          <mc:Choice Requires="x14">
            <control shapeId="1877" r:id="rId856" name="Button 853">
              <controlPr defaultSize="0" autoFill="0" autoLine="0" autoPict="0" macro="[1]!Sheet1.deleteRow">
                <anchor moveWithCells="1" sizeWithCells="1">
                  <from>
                    <xdr:col>6</xdr:col>
                    <xdr:colOff>0</xdr:colOff>
                    <xdr:row>1528</xdr:row>
                    <xdr:rowOff>0</xdr:rowOff>
                  </from>
                  <to>
                    <xdr:col>7</xdr:col>
                    <xdr:colOff>0</xdr:colOff>
                    <xdr:row>1528</xdr:row>
                    <xdr:rowOff>133350</xdr:rowOff>
                  </to>
                </anchor>
              </controlPr>
            </control>
          </mc:Choice>
        </mc:AlternateContent>
        <mc:AlternateContent xmlns:mc="http://schemas.openxmlformats.org/markup-compatibility/2006">
          <mc:Choice Requires="x14">
            <control shapeId="1878" r:id="rId857" name="Button 854">
              <controlPr defaultSize="0" autoFill="0" autoLine="0" autoPict="0" macro="[1]!Sheet1.deleteRow">
                <anchor moveWithCells="1" sizeWithCells="1">
                  <from>
                    <xdr:col>6</xdr:col>
                    <xdr:colOff>0</xdr:colOff>
                    <xdr:row>1529</xdr:row>
                    <xdr:rowOff>0</xdr:rowOff>
                  </from>
                  <to>
                    <xdr:col>7</xdr:col>
                    <xdr:colOff>0</xdr:colOff>
                    <xdr:row>1529</xdr:row>
                    <xdr:rowOff>133350</xdr:rowOff>
                  </to>
                </anchor>
              </controlPr>
            </control>
          </mc:Choice>
        </mc:AlternateContent>
        <mc:AlternateContent xmlns:mc="http://schemas.openxmlformats.org/markup-compatibility/2006">
          <mc:Choice Requires="x14">
            <control shapeId="1879" r:id="rId858" name="Button 855">
              <controlPr defaultSize="0" autoFill="0" autoLine="0" autoPict="0" macro="[1]!Sheet1.deleteRow">
                <anchor moveWithCells="1" sizeWithCells="1">
                  <from>
                    <xdr:col>6</xdr:col>
                    <xdr:colOff>0</xdr:colOff>
                    <xdr:row>1530</xdr:row>
                    <xdr:rowOff>0</xdr:rowOff>
                  </from>
                  <to>
                    <xdr:col>7</xdr:col>
                    <xdr:colOff>0</xdr:colOff>
                    <xdr:row>1530</xdr:row>
                    <xdr:rowOff>133350</xdr:rowOff>
                  </to>
                </anchor>
              </controlPr>
            </control>
          </mc:Choice>
        </mc:AlternateContent>
        <mc:AlternateContent xmlns:mc="http://schemas.openxmlformats.org/markup-compatibility/2006">
          <mc:Choice Requires="x14">
            <control shapeId="1880" r:id="rId859" name="Button 856">
              <controlPr defaultSize="0" autoFill="0" autoLine="0" autoPict="0" macro="[1]!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881" r:id="rId860" name="Button 857">
              <controlPr defaultSize="0" autoFill="0" autoLine="0" autoPict="0" macro="[1]!Sheet1.InsertNewTableRow">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882" r:id="rId861" name="Button 858">
              <controlPr defaultSize="0" autoFill="0" autoLine="0" autoPict="0" macro="[1]!Sheet1.deleteRow">
                <anchor moveWithCells="1" sizeWithCells="1">
                  <from>
                    <xdr:col>6</xdr:col>
                    <xdr:colOff>0</xdr:colOff>
                    <xdr:row>1541</xdr:row>
                    <xdr:rowOff>0</xdr:rowOff>
                  </from>
                  <to>
                    <xdr:col>7</xdr:col>
                    <xdr:colOff>0</xdr:colOff>
                    <xdr:row>1541</xdr:row>
                    <xdr:rowOff>133350</xdr:rowOff>
                  </to>
                </anchor>
              </controlPr>
            </control>
          </mc:Choice>
        </mc:AlternateContent>
        <mc:AlternateContent xmlns:mc="http://schemas.openxmlformats.org/markup-compatibility/2006">
          <mc:Choice Requires="x14">
            <control shapeId="1883" r:id="rId862" name="Button 859">
              <controlPr defaultSize="0" autoFill="0" autoLine="0" autoPict="0" macro="[1]!Sheet1.deleteRow">
                <anchor moveWithCells="1" sizeWithCells="1">
                  <from>
                    <xdr:col>6</xdr:col>
                    <xdr:colOff>0</xdr:colOff>
                    <xdr:row>1542</xdr:row>
                    <xdr:rowOff>0</xdr:rowOff>
                  </from>
                  <to>
                    <xdr:col>7</xdr:col>
                    <xdr:colOff>0</xdr:colOff>
                    <xdr:row>1542</xdr:row>
                    <xdr:rowOff>133350</xdr:rowOff>
                  </to>
                </anchor>
              </controlPr>
            </control>
          </mc:Choice>
        </mc:AlternateContent>
        <mc:AlternateContent xmlns:mc="http://schemas.openxmlformats.org/markup-compatibility/2006">
          <mc:Choice Requires="x14">
            <control shapeId="1884" r:id="rId863" name="Button 860">
              <controlPr defaultSize="0" autoFill="0" autoLine="0" autoPict="0" macro="[1]!Sheet1.deleteRow">
                <anchor moveWithCells="1" sizeWithCells="1">
                  <from>
                    <xdr:col>6</xdr:col>
                    <xdr:colOff>0</xdr:colOff>
                    <xdr:row>1543</xdr:row>
                    <xdr:rowOff>0</xdr:rowOff>
                  </from>
                  <to>
                    <xdr:col>7</xdr:col>
                    <xdr:colOff>0</xdr:colOff>
                    <xdr:row>1543</xdr:row>
                    <xdr:rowOff>133350</xdr:rowOff>
                  </to>
                </anchor>
              </controlPr>
            </control>
          </mc:Choice>
        </mc:AlternateContent>
        <mc:AlternateContent xmlns:mc="http://schemas.openxmlformats.org/markup-compatibility/2006">
          <mc:Choice Requires="x14">
            <control shapeId="1885" r:id="rId864" name="Button 861">
              <controlPr defaultSize="0" autoFill="0" autoLine="0" autoPict="0" macro="[1]!Sheet1.deleteRow">
                <anchor moveWithCells="1" sizeWithCells="1">
                  <from>
                    <xdr:col>6</xdr:col>
                    <xdr:colOff>0</xdr:colOff>
                    <xdr:row>1544</xdr:row>
                    <xdr:rowOff>0</xdr:rowOff>
                  </from>
                  <to>
                    <xdr:col>7</xdr:col>
                    <xdr:colOff>0</xdr:colOff>
                    <xdr:row>1544</xdr:row>
                    <xdr:rowOff>133350</xdr:rowOff>
                  </to>
                </anchor>
              </controlPr>
            </control>
          </mc:Choice>
        </mc:AlternateContent>
        <mc:AlternateContent xmlns:mc="http://schemas.openxmlformats.org/markup-compatibility/2006">
          <mc:Choice Requires="x14">
            <control shapeId="1886" r:id="rId865" name="Button 862">
              <controlPr defaultSize="0" autoFill="0" autoLine="0" autoPict="0" macro="[1]!Sheet1.deleteRow">
                <anchor moveWithCells="1" sizeWithCells="1">
                  <from>
                    <xdr:col>6</xdr:col>
                    <xdr:colOff>0</xdr:colOff>
                    <xdr:row>1545</xdr:row>
                    <xdr:rowOff>0</xdr:rowOff>
                  </from>
                  <to>
                    <xdr:col>7</xdr:col>
                    <xdr:colOff>0</xdr:colOff>
                    <xdr:row>1545</xdr:row>
                    <xdr:rowOff>133350</xdr:rowOff>
                  </to>
                </anchor>
              </controlPr>
            </control>
          </mc:Choice>
        </mc:AlternateContent>
        <mc:AlternateContent xmlns:mc="http://schemas.openxmlformats.org/markup-compatibility/2006">
          <mc:Choice Requires="x14">
            <control shapeId="1887" r:id="rId866" name="Button 863">
              <controlPr defaultSize="0" autoFill="0" autoLine="0" autoPict="0" macro="[1]!Sheet1.deleteRow">
                <anchor moveWithCells="1" sizeWithCells="1">
                  <from>
                    <xdr:col>6</xdr:col>
                    <xdr:colOff>0</xdr:colOff>
                    <xdr:row>1546</xdr:row>
                    <xdr:rowOff>0</xdr:rowOff>
                  </from>
                  <to>
                    <xdr:col>7</xdr:col>
                    <xdr:colOff>0</xdr:colOff>
                    <xdr:row>1546</xdr:row>
                    <xdr:rowOff>133350</xdr:rowOff>
                  </to>
                </anchor>
              </controlPr>
            </control>
          </mc:Choice>
        </mc:AlternateContent>
        <mc:AlternateContent xmlns:mc="http://schemas.openxmlformats.org/markup-compatibility/2006">
          <mc:Choice Requires="x14">
            <control shapeId="1888" r:id="rId867" name="Button 864">
              <controlPr defaultSize="0" autoFill="0" autoLine="0" autoPict="0" macro="[1]!Sheet1.deleteRow">
                <anchor moveWithCells="1" sizeWithCells="1">
                  <from>
                    <xdr:col>6</xdr:col>
                    <xdr:colOff>0</xdr:colOff>
                    <xdr:row>1547</xdr:row>
                    <xdr:rowOff>0</xdr:rowOff>
                  </from>
                  <to>
                    <xdr:col>7</xdr:col>
                    <xdr:colOff>0</xdr:colOff>
                    <xdr:row>1547</xdr:row>
                    <xdr:rowOff>133350</xdr:rowOff>
                  </to>
                </anchor>
              </controlPr>
            </control>
          </mc:Choice>
        </mc:AlternateContent>
        <mc:AlternateContent xmlns:mc="http://schemas.openxmlformats.org/markup-compatibility/2006">
          <mc:Choice Requires="x14">
            <control shapeId="1889" r:id="rId868" name="Button 865">
              <controlPr defaultSize="0" autoFill="0" autoLine="0" autoPict="0" macro="[1]!Sheet1.deleteRow">
                <anchor moveWithCells="1" sizeWithCells="1">
                  <from>
                    <xdr:col>6</xdr:col>
                    <xdr:colOff>0</xdr:colOff>
                    <xdr:row>1548</xdr:row>
                    <xdr:rowOff>0</xdr:rowOff>
                  </from>
                  <to>
                    <xdr:col>7</xdr:col>
                    <xdr:colOff>0</xdr:colOff>
                    <xdr:row>1548</xdr:row>
                    <xdr:rowOff>133350</xdr:rowOff>
                  </to>
                </anchor>
              </controlPr>
            </control>
          </mc:Choice>
        </mc:AlternateContent>
        <mc:AlternateContent xmlns:mc="http://schemas.openxmlformats.org/markup-compatibility/2006">
          <mc:Choice Requires="x14">
            <control shapeId="1890" r:id="rId869" name="Button 866">
              <controlPr defaultSize="0" autoFill="0" autoLine="0" autoPict="0" macro="[1]!Sheet1.deleteProcedure">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1891" r:id="rId870" name="Button 867">
              <controlPr defaultSize="0" autoFill="0" autoLine="0" autoPict="0" macro="[1]!Sheet1.InsertNewTableRow">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892" r:id="rId871" name="Button 868">
              <controlPr defaultSize="0" autoFill="0" autoLine="0" autoPict="0" macro="[1]!Sheet1.deleteRow">
                <anchor moveWithCells="1" sizeWithCells="1">
                  <from>
                    <xdr:col>6</xdr:col>
                    <xdr:colOff>0</xdr:colOff>
                    <xdr:row>1559</xdr:row>
                    <xdr:rowOff>0</xdr:rowOff>
                  </from>
                  <to>
                    <xdr:col>7</xdr:col>
                    <xdr:colOff>0</xdr:colOff>
                    <xdr:row>1559</xdr:row>
                    <xdr:rowOff>133350</xdr:rowOff>
                  </to>
                </anchor>
              </controlPr>
            </control>
          </mc:Choice>
        </mc:AlternateContent>
        <mc:AlternateContent xmlns:mc="http://schemas.openxmlformats.org/markup-compatibility/2006">
          <mc:Choice Requires="x14">
            <control shapeId="1893" r:id="rId872" name="Button 869">
              <controlPr defaultSize="0" autoFill="0" autoLine="0" autoPict="0" macro="[1]!Sheet1.deleteRow">
                <anchor moveWithCells="1" sizeWithCells="1">
                  <from>
                    <xdr:col>6</xdr:col>
                    <xdr:colOff>0</xdr:colOff>
                    <xdr:row>1560</xdr:row>
                    <xdr:rowOff>0</xdr:rowOff>
                  </from>
                  <to>
                    <xdr:col>7</xdr:col>
                    <xdr:colOff>0</xdr:colOff>
                    <xdr:row>1560</xdr:row>
                    <xdr:rowOff>133350</xdr:rowOff>
                  </to>
                </anchor>
              </controlPr>
            </control>
          </mc:Choice>
        </mc:AlternateContent>
        <mc:AlternateContent xmlns:mc="http://schemas.openxmlformats.org/markup-compatibility/2006">
          <mc:Choice Requires="x14">
            <control shapeId="1894" r:id="rId873" name="Button 870">
              <controlPr defaultSize="0" autoFill="0" autoLine="0" autoPict="0" macro="[1]!Sheet1.deleteRow">
                <anchor moveWithCells="1" sizeWithCells="1">
                  <from>
                    <xdr:col>6</xdr:col>
                    <xdr:colOff>0</xdr:colOff>
                    <xdr:row>1561</xdr:row>
                    <xdr:rowOff>0</xdr:rowOff>
                  </from>
                  <to>
                    <xdr:col>7</xdr:col>
                    <xdr:colOff>0</xdr:colOff>
                    <xdr:row>1561</xdr:row>
                    <xdr:rowOff>133350</xdr:rowOff>
                  </to>
                </anchor>
              </controlPr>
            </control>
          </mc:Choice>
        </mc:AlternateContent>
        <mc:AlternateContent xmlns:mc="http://schemas.openxmlformats.org/markup-compatibility/2006">
          <mc:Choice Requires="x14">
            <control shapeId="1895" r:id="rId874" name="Button 871">
              <controlPr defaultSize="0" autoFill="0" autoLine="0" autoPict="0" macro="[1]!Sheet1.deleteRow">
                <anchor moveWithCells="1" sizeWithCells="1">
                  <from>
                    <xdr:col>6</xdr:col>
                    <xdr:colOff>0</xdr:colOff>
                    <xdr:row>1562</xdr:row>
                    <xdr:rowOff>0</xdr:rowOff>
                  </from>
                  <to>
                    <xdr:col>7</xdr:col>
                    <xdr:colOff>0</xdr:colOff>
                    <xdr:row>1562</xdr:row>
                    <xdr:rowOff>133350</xdr:rowOff>
                  </to>
                </anchor>
              </controlPr>
            </control>
          </mc:Choice>
        </mc:AlternateContent>
        <mc:AlternateContent xmlns:mc="http://schemas.openxmlformats.org/markup-compatibility/2006">
          <mc:Choice Requires="x14">
            <control shapeId="1896" r:id="rId875" name="Button 872">
              <controlPr defaultSize="0" autoFill="0" autoLine="0" autoPict="0" macro="[1]!Sheet1.deleteRow">
                <anchor moveWithCells="1" sizeWithCells="1">
                  <from>
                    <xdr:col>6</xdr:col>
                    <xdr:colOff>0</xdr:colOff>
                    <xdr:row>1563</xdr:row>
                    <xdr:rowOff>0</xdr:rowOff>
                  </from>
                  <to>
                    <xdr:col>7</xdr:col>
                    <xdr:colOff>0</xdr:colOff>
                    <xdr:row>1563</xdr:row>
                    <xdr:rowOff>133350</xdr:rowOff>
                  </to>
                </anchor>
              </controlPr>
            </control>
          </mc:Choice>
        </mc:AlternateContent>
        <mc:AlternateContent xmlns:mc="http://schemas.openxmlformats.org/markup-compatibility/2006">
          <mc:Choice Requires="x14">
            <control shapeId="1897" r:id="rId876" name="Button 873">
              <controlPr defaultSize="0" autoFill="0" autoLine="0" autoPict="0" macro="[1]!Sheet1.deleteRow">
                <anchor moveWithCells="1" sizeWithCells="1">
                  <from>
                    <xdr:col>6</xdr:col>
                    <xdr:colOff>0</xdr:colOff>
                    <xdr:row>1564</xdr:row>
                    <xdr:rowOff>0</xdr:rowOff>
                  </from>
                  <to>
                    <xdr:col>7</xdr:col>
                    <xdr:colOff>0</xdr:colOff>
                    <xdr:row>1564</xdr:row>
                    <xdr:rowOff>133350</xdr:rowOff>
                  </to>
                </anchor>
              </controlPr>
            </control>
          </mc:Choice>
        </mc:AlternateContent>
        <mc:AlternateContent xmlns:mc="http://schemas.openxmlformats.org/markup-compatibility/2006">
          <mc:Choice Requires="x14">
            <control shapeId="1898" r:id="rId877" name="Button 874">
              <controlPr defaultSize="0" autoFill="0" autoLine="0" autoPict="0" macro="[1]!Sheet1.deleteRow">
                <anchor moveWithCells="1" sizeWithCells="1">
                  <from>
                    <xdr:col>6</xdr:col>
                    <xdr:colOff>0</xdr:colOff>
                    <xdr:row>1565</xdr:row>
                    <xdr:rowOff>0</xdr:rowOff>
                  </from>
                  <to>
                    <xdr:col>7</xdr:col>
                    <xdr:colOff>0</xdr:colOff>
                    <xdr:row>1565</xdr:row>
                    <xdr:rowOff>133350</xdr:rowOff>
                  </to>
                </anchor>
              </controlPr>
            </control>
          </mc:Choice>
        </mc:AlternateContent>
        <mc:AlternateContent xmlns:mc="http://schemas.openxmlformats.org/markup-compatibility/2006">
          <mc:Choice Requires="x14">
            <control shapeId="1899" r:id="rId878" name="Button 875">
              <controlPr defaultSize="0" autoFill="0" autoLine="0" autoPict="0" macro="[1]!Sheet1.deleteRow">
                <anchor moveWithCells="1" sizeWithCells="1">
                  <from>
                    <xdr:col>6</xdr:col>
                    <xdr:colOff>0</xdr:colOff>
                    <xdr:row>1566</xdr:row>
                    <xdr:rowOff>0</xdr:rowOff>
                  </from>
                  <to>
                    <xdr:col>7</xdr:col>
                    <xdr:colOff>0</xdr:colOff>
                    <xdr:row>1566</xdr:row>
                    <xdr:rowOff>133350</xdr:rowOff>
                  </to>
                </anchor>
              </controlPr>
            </control>
          </mc:Choice>
        </mc:AlternateContent>
        <mc:AlternateContent xmlns:mc="http://schemas.openxmlformats.org/markup-compatibility/2006">
          <mc:Choice Requires="x14">
            <control shapeId="1900" r:id="rId879" name="Button 876">
              <controlPr defaultSize="0" autoFill="0" autoLine="0" autoPict="0" macro="[1]!Sheet1.deleteProcedure">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1901" r:id="rId880" name="Button 877">
              <controlPr defaultSize="0" autoFill="0" autoLine="0" autoPict="0" macro="[1]!Sheet1.InsertNewTableRow">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1902" r:id="rId881" name="Button 878">
              <controlPr defaultSize="0" autoFill="0" autoLine="0" autoPict="0" macro="[1]!Sheet1.deleteRow">
                <anchor moveWithCells="1" sizeWithCells="1">
                  <from>
                    <xdr:col>6</xdr:col>
                    <xdr:colOff>0</xdr:colOff>
                    <xdr:row>1577</xdr:row>
                    <xdr:rowOff>0</xdr:rowOff>
                  </from>
                  <to>
                    <xdr:col>7</xdr:col>
                    <xdr:colOff>0</xdr:colOff>
                    <xdr:row>1577</xdr:row>
                    <xdr:rowOff>133350</xdr:rowOff>
                  </to>
                </anchor>
              </controlPr>
            </control>
          </mc:Choice>
        </mc:AlternateContent>
        <mc:AlternateContent xmlns:mc="http://schemas.openxmlformats.org/markup-compatibility/2006">
          <mc:Choice Requires="x14">
            <control shapeId="1903" r:id="rId882" name="Button 879">
              <controlPr defaultSize="0" autoFill="0" autoLine="0" autoPict="0" macro="[1]!Sheet1.deleteRow">
                <anchor moveWithCells="1" sizeWithCells="1">
                  <from>
                    <xdr:col>6</xdr:col>
                    <xdr:colOff>0</xdr:colOff>
                    <xdr:row>1578</xdr:row>
                    <xdr:rowOff>0</xdr:rowOff>
                  </from>
                  <to>
                    <xdr:col>7</xdr:col>
                    <xdr:colOff>0</xdr:colOff>
                    <xdr:row>1578</xdr:row>
                    <xdr:rowOff>133350</xdr:rowOff>
                  </to>
                </anchor>
              </controlPr>
            </control>
          </mc:Choice>
        </mc:AlternateContent>
        <mc:AlternateContent xmlns:mc="http://schemas.openxmlformats.org/markup-compatibility/2006">
          <mc:Choice Requires="x14">
            <control shapeId="1904" r:id="rId883" name="Button 880">
              <controlPr defaultSize="0" autoFill="0" autoLine="0" autoPict="0" macro="[1]!Sheet1.deleteRow">
                <anchor moveWithCells="1" sizeWithCells="1">
                  <from>
                    <xdr:col>6</xdr:col>
                    <xdr:colOff>0</xdr:colOff>
                    <xdr:row>1579</xdr:row>
                    <xdr:rowOff>0</xdr:rowOff>
                  </from>
                  <to>
                    <xdr:col>7</xdr:col>
                    <xdr:colOff>0</xdr:colOff>
                    <xdr:row>1579</xdr:row>
                    <xdr:rowOff>133350</xdr:rowOff>
                  </to>
                </anchor>
              </controlPr>
            </control>
          </mc:Choice>
        </mc:AlternateContent>
        <mc:AlternateContent xmlns:mc="http://schemas.openxmlformats.org/markup-compatibility/2006">
          <mc:Choice Requires="x14">
            <control shapeId="1905" r:id="rId884" name="Button 881">
              <controlPr defaultSize="0" autoFill="0" autoLine="0" autoPict="0" macro="[1]!Sheet1.deleteRow">
                <anchor moveWithCells="1" sizeWithCells="1">
                  <from>
                    <xdr:col>6</xdr:col>
                    <xdr:colOff>0</xdr:colOff>
                    <xdr:row>1580</xdr:row>
                    <xdr:rowOff>0</xdr:rowOff>
                  </from>
                  <to>
                    <xdr:col>7</xdr:col>
                    <xdr:colOff>0</xdr:colOff>
                    <xdr:row>1580</xdr:row>
                    <xdr:rowOff>133350</xdr:rowOff>
                  </to>
                </anchor>
              </controlPr>
            </control>
          </mc:Choice>
        </mc:AlternateContent>
        <mc:AlternateContent xmlns:mc="http://schemas.openxmlformats.org/markup-compatibility/2006">
          <mc:Choice Requires="x14">
            <control shapeId="1906" r:id="rId885" name="Button 882">
              <controlPr defaultSize="0" autoFill="0" autoLine="0" autoPict="0" macro="[1]!Sheet1.deleteRow">
                <anchor moveWithCells="1" sizeWithCells="1">
                  <from>
                    <xdr:col>6</xdr:col>
                    <xdr:colOff>0</xdr:colOff>
                    <xdr:row>1581</xdr:row>
                    <xdr:rowOff>0</xdr:rowOff>
                  </from>
                  <to>
                    <xdr:col>7</xdr:col>
                    <xdr:colOff>0</xdr:colOff>
                    <xdr:row>1581</xdr:row>
                    <xdr:rowOff>133350</xdr:rowOff>
                  </to>
                </anchor>
              </controlPr>
            </control>
          </mc:Choice>
        </mc:AlternateContent>
        <mc:AlternateContent xmlns:mc="http://schemas.openxmlformats.org/markup-compatibility/2006">
          <mc:Choice Requires="x14">
            <control shapeId="1907" r:id="rId886" name="Button 883">
              <controlPr defaultSize="0" autoFill="0" autoLine="0" autoPict="0" macro="[1]!Sheet1.deleteRow">
                <anchor moveWithCells="1" sizeWithCells="1">
                  <from>
                    <xdr:col>6</xdr:col>
                    <xdr:colOff>0</xdr:colOff>
                    <xdr:row>1582</xdr:row>
                    <xdr:rowOff>0</xdr:rowOff>
                  </from>
                  <to>
                    <xdr:col>7</xdr:col>
                    <xdr:colOff>0</xdr:colOff>
                    <xdr:row>1582</xdr:row>
                    <xdr:rowOff>133350</xdr:rowOff>
                  </to>
                </anchor>
              </controlPr>
            </control>
          </mc:Choice>
        </mc:AlternateContent>
        <mc:AlternateContent xmlns:mc="http://schemas.openxmlformats.org/markup-compatibility/2006">
          <mc:Choice Requires="x14">
            <control shapeId="1908" r:id="rId887" name="Button 884">
              <controlPr defaultSize="0" autoFill="0" autoLine="0" autoPict="0" macro="[1]!Sheet1.deleteProcedure">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1909" r:id="rId888" name="Button 885">
              <controlPr defaultSize="0" autoFill="0" autoLine="0" autoPict="0" macro="[1]!Sheet1.InsertNewTableRow">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910" r:id="rId889" name="Button 886">
              <controlPr defaultSize="0" autoFill="0" autoLine="0" autoPict="0" macro="[1]!Sheet1.deleteRow">
                <anchor moveWithCells="1" sizeWithCells="1">
                  <from>
                    <xdr:col>6</xdr:col>
                    <xdr:colOff>0</xdr:colOff>
                    <xdr:row>1593</xdr:row>
                    <xdr:rowOff>0</xdr:rowOff>
                  </from>
                  <to>
                    <xdr:col>7</xdr:col>
                    <xdr:colOff>0</xdr:colOff>
                    <xdr:row>1593</xdr:row>
                    <xdr:rowOff>133350</xdr:rowOff>
                  </to>
                </anchor>
              </controlPr>
            </control>
          </mc:Choice>
        </mc:AlternateContent>
        <mc:AlternateContent xmlns:mc="http://schemas.openxmlformats.org/markup-compatibility/2006">
          <mc:Choice Requires="x14">
            <control shapeId="1911" r:id="rId890" name="Button 887">
              <controlPr defaultSize="0" autoFill="0" autoLine="0" autoPict="0" macro="[1]!Sheet1.deleteRow">
                <anchor moveWithCells="1" sizeWithCells="1">
                  <from>
                    <xdr:col>6</xdr:col>
                    <xdr:colOff>0</xdr:colOff>
                    <xdr:row>1594</xdr:row>
                    <xdr:rowOff>0</xdr:rowOff>
                  </from>
                  <to>
                    <xdr:col>7</xdr:col>
                    <xdr:colOff>0</xdr:colOff>
                    <xdr:row>1594</xdr:row>
                    <xdr:rowOff>133350</xdr:rowOff>
                  </to>
                </anchor>
              </controlPr>
            </control>
          </mc:Choice>
        </mc:AlternateContent>
        <mc:AlternateContent xmlns:mc="http://schemas.openxmlformats.org/markup-compatibility/2006">
          <mc:Choice Requires="x14">
            <control shapeId="1912" r:id="rId891" name="Button 888">
              <controlPr defaultSize="0" autoFill="0" autoLine="0" autoPict="0" macro="[1]!Sheet1.deleteRow">
                <anchor moveWithCells="1" sizeWithCells="1">
                  <from>
                    <xdr:col>6</xdr:col>
                    <xdr:colOff>0</xdr:colOff>
                    <xdr:row>1595</xdr:row>
                    <xdr:rowOff>0</xdr:rowOff>
                  </from>
                  <to>
                    <xdr:col>7</xdr:col>
                    <xdr:colOff>0</xdr:colOff>
                    <xdr:row>1595</xdr:row>
                    <xdr:rowOff>133350</xdr:rowOff>
                  </to>
                </anchor>
              </controlPr>
            </control>
          </mc:Choice>
        </mc:AlternateContent>
        <mc:AlternateContent xmlns:mc="http://schemas.openxmlformats.org/markup-compatibility/2006">
          <mc:Choice Requires="x14">
            <control shapeId="1913" r:id="rId892" name="Button 889">
              <controlPr defaultSize="0" autoFill="0" autoLine="0" autoPict="0" macro="[1]!Sheet1.deleteRow">
                <anchor moveWithCells="1" sizeWithCells="1">
                  <from>
                    <xdr:col>6</xdr:col>
                    <xdr:colOff>0</xdr:colOff>
                    <xdr:row>1596</xdr:row>
                    <xdr:rowOff>0</xdr:rowOff>
                  </from>
                  <to>
                    <xdr:col>7</xdr:col>
                    <xdr:colOff>0</xdr:colOff>
                    <xdr:row>1596</xdr:row>
                    <xdr:rowOff>133350</xdr:rowOff>
                  </to>
                </anchor>
              </controlPr>
            </control>
          </mc:Choice>
        </mc:AlternateContent>
        <mc:AlternateContent xmlns:mc="http://schemas.openxmlformats.org/markup-compatibility/2006">
          <mc:Choice Requires="x14">
            <control shapeId="1914" r:id="rId893" name="Button 890">
              <controlPr defaultSize="0" autoFill="0" autoLine="0" autoPict="0" macro="[1]!Sheet1.deleteRow">
                <anchor moveWithCells="1" sizeWithCells="1">
                  <from>
                    <xdr:col>6</xdr:col>
                    <xdr:colOff>0</xdr:colOff>
                    <xdr:row>1597</xdr:row>
                    <xdr:rowOff>0</xdr:rowOff>
                  </from>
                  <to>
                    <xdr:col>7</xdr:col>
                    <xdr:colOff>0</xdr:colOff>
                    <xdr:row>1597</xdr:row>
                    <xdr:rowOff>133350</xdr:rowOff>
                  </to>
                </anchor>
              </controlPr>
            </control>
          </mc:Choice>
        </mc:AlternateContent>
        <mc:AlternateContent xmlns:mc="http://schemas.openxmlformats.org/markup-compatibility/2006">
          <mc:Choice Requires="x14">
            <control shapeId="1915" r:id="rId894" name="Button 891">
              <controlPr defaultSize="0" autoFill="0" autoLine="0" autoPict="0" macro="[1]!Sheet1.deleteRow">
                <anchor moveWithCells="1" sizeWithCells="1">
                  <from>
                    <xdr:col>6</xdr:col>
                    <xdr:colOff>0</xdr:colOff>
                    <xdr:row>1598</xdr:row>
                    <xdr:rowOff>0</xdr:rowOff>
                  </from>
                  <to>
                    <xdr:col>7</xdr:col>
                    <xdr:colOff>0</xdr:colOff>
                    <xdr:row>1598</xdr:row>
                    <xdr:rowOff>133350</xdr:rowOff>
                  </to>
                </anchor>
              </controlPr>
            </control>
          </mc:Choice>
        </mc:AlternateContent>
        <mc:AlternateContent xmlns:mc="http://schemas.openxmlformats.org/markup-compatibility/2006">
          <mc:Choice Requires="x14">
            <control shapeId="1916" r:id="rId895" name="Button 892">
              <controlPr defaultSize="0" autoFill="0" autoLine="0" autoPict="0" macro="[1]!Sheet1.deleteRow">
                <anchor moveWithCells="1" sizeWithCells="1">
                  <from>
                    <xdr:col>6</xdr:col>
                    <xdr:colOff>0</xdr:colOff>
                    <xdr:row>1599</xdr:row>
                    <xdr:rowOff>0</xdr:rowOff>
                  </from>
                  <to>
                    <xdr:col>7</xdr:col>
                    <xdr:colOff>0</xdr:colOff>
                    <xdr:row>1599</xdr:row>
                    <xdr:rowOff>133350</xdr:rowOff>
                  </to>
                </anchor>
              </controlPr>
            </control>
          </mc:Choice>
        </mc:AlternateContent>
        <mc:AlternateContent xmlns:mc="http://schemas.openxmlformats.org/markup-compatibility/2006">
          <mc:Choice Requires="x14">
            <control shapeId="1917" r:id="rId896" name="Button 893">
              <controlPr defaultSize="0" autoFill="0" autoLine="0" autoPict="0" macro="[1]!Sheet1.deleteProcedure">
                <anchor moveWithCells="1" sizeWithCells="1">
                  <from>
                    <xdr:col>6</xdr:col>
                    <xdr:colOff>0</xdr:colOff>
                    <xdr:row>1602</xdr:row>
                    <xdr:rowOff>0</xdr:rowOff>
                  </from>
                  <to>
                    <xdr:col>7</xdr:col>
                    <xdr:colOff>0</xdr:colOff>
                    <xdr:row>1603</xdr:row>
                    <xdr:rowOff>0</xdr:rowOff>
                  </to>
                </anchor>
              </controlPr>
            </control>
          </mc:Choice>
        </mc:AlternateContent>
        <mc:AlternateContent xmlns:mc="http://schemas.openxmlformats.org/markup-compatibility/2006">
          <mc:Choice Requires="x14">
            <control shapeId="1918" r:id="rId897" name="Button 894">
              <controlPr defaultSize="0" autoFill="0" autoLine="0" autoPict="0" macro="[1]!Sheet1.InsertNewTableRow">
                <anchor moveWithCells="1" sizeWithCells="1">
                  <from>
                    <xdr:col>6</xdr:col>
                    <xdr:colOff>0</xdr:colOff>
                    <xdr:row>1609</xdr:row>
                    <xdr:rowOff>0</xdr:rowOff>
                  </from>
                  <to>
                    <xdr:col>7</xdr:col>
                    <xdr:colOff>0</xdr:colOff>
                    <xdr:row>1610</xdr:row>
                    <xdr:rowOff>0</xdr:rowOff>
                  </to>
                </anchor>
              </controlPr>
            </control>
          </mc:Choice>
        </mc:AlternateContent>
        <mc:AlternateContent xmlns:mc="http://schemas.openxmlformats.org/markup-compatibility/2006">
          <mc:Choice Requires="x14">
            <control shapeId="1919" r:id="rId898" name="Button 895">
              <controlPr defaultSize="0" autoFill="0" autoLine="0" autoPict="0" macro="[1]!Sheet1.deleteRow">
                <anchor moveWithCells="1" sizeWithCells="1">
                  <from>
                    <xdr:col>6</xdr:col>
                    <xdr:colOff>0</xdr:colOff>
                    <xdr:row>1610</xdr:row>
                    <xdr:rowOff>0</xdr:rowOff>
                  </from>
                  <to>
                    <xdr:col>7</xdr:col>
                    <xdr:colOff>0</xdr:colOff>
                    <xdr:row>1610</xdr:row>
                    <xdr:rowOff>133350</xdr:rowOff>
                  </to>
                </anchor>
              </controlPr>
            </control>
          </mc:Choice>
        </mc:AlternateContent>
        <mc:AlternateContent xmlns:mc="http://schemas.openxmlformats.org/markup-compatibility/2006">
          <mc:Choice Requires="x14">
            <control shapeId="1920" r:id="rId899" name="Button 896">
              <controlPr defaultSize="0" autoFill="0" autoLine="0" autoPict="0" macro="[1]!Sheet1.deleteProcedure">
                <anchor moveWithCells="1" sizeWithCells="1">
                  <from>
                    <xdr:col>6</xdr:col>
                    <xdr:colOff>0</xdr:colOff>
                    <xdr:row>1613</xdr:row>
                    <xdr:rowOff>0</xdr:rowOff>
                  </from>
                  <to>
                    <xdr:col>7</xdr:col>
                    <xdr:colOff>0</xdr:colOff>
                    <xdr:row>1614</xdr:row>
                    <xdr:rowOff>0</xdr:rowOff>
                  </to>
                </anchor>
              </controlPr>
            </control>
          </mc:Choice>
        </mc:AlternateContent>
        <mc:AlternateContent xmlns:mc="http://schemas.openxmlformats.org/markup-compatibility/2006">
          <mc:Choice Requires="x14">
            <control shapeId="1921" r:id="rId900" name="Button 897">
              <controlPr defaultSize="0" autoFill="0" autoLine="0" autoPict="0" macro="[1]!Sheet1.InsertNewTableRow">
                <anchor moveWithCells="1" sizeWithCells="1">
                  <from>
                    <xdr:col>6</xdr:col>
                    <xdr:colOff>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1922" r:id="rId901" name="Button 898">
              <controlPr defaultSize="0" autoFill="0" autoLine="0" autoPict="0" macro="[1]!Sheet1.deleteRow">
                <anchor moveWithCells="1" sizeWithCells="1">
                  <from>
                    <xdr:col>6</xdr:col>
                    <xdr:colOff>0</xdr:colOff>
                    <xdr:row>1621</xdr:row>
                    <xdr:rowOff>0</xdr:rowOff>
                  </from>
                  <to>
                    <xdr:col>7</xdr:col>
                    <xdr:colOff>0</xdr:colOff>
                    <xdr:row>1621</xdr:row>
                    <xdr:rowOff>133350</xdr:rowOff>
                  </to>
                </anchor>
              </controlPr>
            </control>
          </mc:Choice>
        </mc:AlternateContent>
        <mc:AlternateContent xmlns:mc="http://schemas.openxmlformats.org/markup-compatibility/2006">
          <mc:Choice Requires="x14">
            <control shapeId="1923" r:id="rId902" name="Button 899">
              <controlPr defaultSize="0" autoFill="0" autoLine="0" autoPict="0" macro="[1]!Sheet1.deleteProcedure">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1924" r:id="rId903" name="Button 900">
              <controlPr defaultSize="0" autoFill="0" autoLine="0" autoPict="0" macro="[1]!Sheet1.InsertNewTableRow">
                <anchor moveWithCells="1" sizeWithCells="1">
                  <from>
                    <xdr:col>6</xdr:col>
                    <xdr:colOff>0</xdr:colOff>
                    <xdr:row>1631</xdr:row>
                    <xdr:rowOff>0</xdr:rowOff>
                  </from>
                  <to>
                    <xdr:col>7</xdr:col>
                    <xdr:colOff>0</xdr:colOff>
                    <xdr:row>1632</xdr:row>
                    <xdr:rowOff>0</xdr:rowOff>
                  </to>
                </anchor>
              </controlPr>
            </control>
          </mc:Choice>
        </mc:AlternateContent>
        <mc:AlternateContent xmlns:mc="http://schemas.openxmlformats.org/markup-compatibility/2006">
          <mc:Choice Requires="x14">
            <control shapeId="1925" r:id="rId904" name="Button 901">
              <controlPr defaultSize="0" autoFill="0" autoLine="0" autoPict="0" macro="[1]!Sheet1.deleteRow">
                <anchor moveWithCells="1" sizeWithCells="1">
                  <from>
                    <xdr:col>6</xdr:col>
                    <xdr:colOff>0</xdr:colOff>
                    <xdr:row>1632</xdr:row>
                    <xdr:rowOff>0</xdr:rowOff>
                  </from>
                  <to>
                    <xdr:col>7</xdr:col>
                    <xdr:colOff>0</xdr:colOff>
                    <xdr:row>1632</xdr:row>
                    <xdr:rowOff>133350</xdr:rowOff>
                  </to>
                </anchor>
              </controlPr>
            </control>
          </mc:Choice>
        </mc:AlternateContent>
        <mc:AlternateContent xmlns:mc="http://schemas.openxmlformats.org/markup-compatibility/2006">
          <mc:Choice Requires="x14">
            <control shapeId="1926" r:id="rId905" name="Button 902">
              <controlPr defaultSize="0" autoFill="0" autoLine="0" autoPict="0" macro="[1]!Sheet1.deleteProcedure">
                <anchor moveWithCells="1" sizeWithCells="1">
                  <from>
                    <xdr:col>6</xdr:col>
                    <xdr:colOff>0</xdr:colOff>
                    <xdr:row>1635</xdr:row>
                    <xdr:rowOff>0</xdr:rowOff>
                  </from>
                  <to>
                    <xdr:col>7</xdr:col>
                    <xdr:colOff>0</xdr:colOff>
                    <xdr:row>1636</xdr:row>
                    <xdr:rowOff>0</xdr:rowOff>
                  </to>
                </anchor>
              </controlPr>
            </control>
          </mc:Choice>
        </mc:AlternateContent>
        <mc:AlternateContent xmlns:mc="http://schemas.openxmlformats.org/markup-compatibility/2006">
          <mc:Choice Requires="x14">
            <control shapeId="1927" r:id="rId906" name="Button 903">
              <controlPr defaultSize="0" autoFill="0" autoLine="0" autoPict="0" macro="[1]!Sheet1.InsertNewTableRow">
                <anchor moveWithCells="1" sizeWithCells="1">
                  <from>
                    <xdr:col>6</xdr:col>
                    <xdr:colOff>0</xdr:colOff>
                    <xdr:row>1642</xdr:row>
                    <xdr:rowOff>0</xdr:rowOff>
                  </from>
                  <to>
                    <xdr:col>7</xdr:col>
                    <xdr:colOff>0</xdr:colOff>
                    <xdr:row>1643</xdr:row>
                    <xdr:rowOff>0</xdr:rowOff>
                  </to>
                </anchor>
              </controlPr>
            </control>
          </mc:Choice>
        </mc:AlternateContent>
        <mc:AlternateContent xmlns:mc="http://schemas.openxmlformats.org/markup-compatibility/2006">
          <mc:Choice Requires="x14">
            <control shapeId="1928" r:id="rId907" name="Button 904">
              <controlPr defaultSize="0" autoFill="0" autoLine="0" autoPict="0" macro="[1]!Sheet1.deleteRow">
                <anchor moveWithCells="1" sizeWithCells="1">
                  <from>
                    <xdr:col>6</xdr:col>
                    <xdr:colOff>0</xdr:colOff>
                    <xdr:row>1643</xdr:row>
                    <xdr:rowOff>0</xdr:rowOff>
                  </from>
                  <to>
                    <xdr:col>7</xdr:col>
                    <xdr:colOff>0</xdr:colOff>
                    <xdr:row>1643</xdr:row>
                    <xdr:rowOff>133350</xdr:rowOff>
                  </to>
                </anchor>
              </controlPr>
            </control>
          </mc:Choice>
        </mc:AlternateContent>
        <mc:AlternateContent xmlns:mc="http://schemas.openxmlformats.org/markup-compatibility/2006">
          <mc:Choice Requires="x14">
            <control shapeId="1929" r:id="rId908" name="Button 905">
              <controlPr defaultSize="0" autoFill="0" autoLine="0" autoPict="0" macro="[1]!Sheet1.deleteProcedure">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1930" r:id="rId909" name="Button 906">
              <controlPr defaultSize="0" autoFill="0" autoLine="0" autoPict="0" macro="[1]!Sheet1.InsertNewTableRow">
                <anchor moveWithCells="1" sizeWithCells="1">
                  <from>
                    <xdr:col>6</xdr:col>
                    <xdr:colOff>0</xdr:colOff>
                    <xdr:row>1653</xdr:row>
                    <xdr:rowOff>0</xdr:rowOff>
                  </from>
                  <to>
                    <xdr:col>7</xdr:col>
                    <xdr:colOff>0</xdr:colOff>
                    <xdr:row>1654</xdr:row>
                    <xdr:rowOff>0</xdr:rowOff>
                  </to>
                </anchor>
              </controlPr>
            </control>
          </mc:Choice>
        </mc:AlternateContent>
        <mc:AlternateContent xmlns:mc="http://schemas.openxmlformats.org/markup-compatibility/2006">
          <mc:Choice Requires="x14">
            <control shapeId="1931" r:id="rId910" name="Button 907">
              <controlPr defaultSize="0" autoFill="0" autoLine="0" autoPict="0" macro="[1]!Sheet1.deleteRow">
                <anchor moveWithCells="1" sizeWithCells="1">
                  <from>
                    <xdr:col>6</xdr:col>
                    <xdr:colOff>0</xdr:colOff>
                    <xdr:row>1654</xdr:row>
                    <xdr:rowOff>0</xdr:rowOff>
                  </from>
                  <to>
                    <xdr:col>7</xdr:col>
                    <xdr:colOff>0</xdr:colOff>
                    <xdr:row>1654</xdr:row>
                    <xdr:rowOff>133350</xdr:rowOff>
                  </to>
                </anchor>
              </controlPr>
            </control>
          </mc:Choice>
        </mc:AlternateContent>
        <mc:AlternateContent xmlns:mc="http://schemas.openxmlformats.org/markup-compatibility/2006">
          <mc:Choice Requires="x14">
            <control shapeId="1932" r:id="rId911" name="Button 908">
              <controlPr defaultSize="0" autoFill="0" autoLine="0" autoPict="0" macro="[1]!Sheet1.deleteProcedure">
                <anchor moveWithCells="1" sizeWithCells="1">
                  <from>
                    <xdr:col>6</xdr:col>
                    <xdr:colOff>0</xdr:colOff>
                    <xdr:row>1657</xdr:row>
                    <xdr:rowOff>0</xdr:rowOff>
                  </from>
                  <to>
                    <xdr:col>7</xdr:col>
                    <xdr:colOff>0</xdr:colOff>
                    <xdr:row>1658</xdr:row>
                    <xdr:rowOff>0</xdr:rowOff>
                  </to>
                </anchor>
              </controlPr>
            </control>
          </mc:Choice>
        </mc:AlternateContent>
        <mc:AlternateContent xmlns:mc="http://schemas.openxmlformats.org/markup-compatibility/2006">
          <mc:Choice Requires="x14">
            <control shapeId="1933" r:id="rId912" name="Button 909">
              <controlPr defaultSize="0" autoFill="0" autoLine="0" autoPict="0" macro="[1]!Sheet1.InsertNewTableRow">
                <anchor moveWithCells="1" sizeWithCells="1">
                  <from>
                    <xdr:col>6</xdr:col>
                    <xdr:colOff>0</xdr:colOff>
                    <xdr:row>1664</xdr:row>
                    <xdr:rowOff>0</xdr:rowOff>
                  </from>
                  <to>
                    <xdr:col>7</xdr:col>
                    <xdr:colOff>0</xdr:colOff>
                    <xdr:row>1665</xdr:row>
                    <xdr:rowOff>0</xdr:rowOff>
                  </to>
                </anchor>
              </controlPr>
            </control>
          </mc:Choice>
        </mc:AlternateContent>
        <mc:AlternateContent xmlns:mc="http://schemas.openxmlformats.org/markup-compatibility/2006">
          <mc:Choice Requires="x14">
            <control shapeId="1934" r:id="rId913" name="Button 910">
              <controlPr defaultSize="0" autoFill="0" autoLine="0" autoPict="0" macro="[1]!Sheet1.deleteRow">
                <anchor moveWithCells="1" sizeWithCells="1">
                  <from>
                    <xdr:col>6</xdr:col>
                    <xdr:colOff>0</xdr:colOff>
                    <xdr:row>1665</xdr:row>
                    <xdr:rowOff>0</xdr:rowOff>
                  </from>
                  <to>
                    <xdr:col>7</xdr:col>
                    <xdr:colOff>0</xdr:colOff>
                    <xdr:row>1665</xdr:row>
                    <xdr:rowOff>133350</xdr:rowOff>
                  </to>
                </anchor>
              </controlPr>
            </control>
          </mc:Choice>
        </mc:AlternateContent>
        <mc:AlternateContent xmlns:mc="http://schemas.openxmlformats.org/markup-compatibility/2006">
          <mc:Choice Requires="x14">
            <control shapeId="1935" r:id="rId914" name="Button 911">
              <controlPr defaultSize="0" autoFill="0" autoLine="0" autoPict="0" macro="[1]!Sheet1.deleteRow">
                <anchor moveWithCells="1" sizeWithCells="1">
                  <from>
                    <xdr:col>6</xdr:col>
                    <xdr:colOff>0</xdr:colOff>
                    <xdr:row>1666</xdr:row>
                    <xdr:rowOff>0</xdr:rowOff>
                  </from>
                  <to>
                    <xdr:col>7</xdr:col>
                    <xdr:colOff>0</xdr:colOff>
                    <xdr:row>1666</xdr:row>
                    <xdr:rowOff>133350</xdr:rowOff>
                  </to>
                </anchor>
              </controlPr>
            </control>
          </mc:Choice>
        </mc:AlternateContent>
        <mc:AlternateContent xmlns:mc="http://schemas.openxmlformats.org/markup-compatibility/2006">
          <mc:Choice Requires="x14">
            <control shapeId="1936" r:id="rId915" name="Button 912">
              <controlPr defaultSize="0" autoFill="0" autoLine="0" autoPict="0" macro="[1]!Sheet1.deleteRow">
                <anchor moveWithCells="1" sizeWithCells="1">
                  <from>
                    <xdr:col>6</xdr:col>
                    <xdr:colOff>0</xdr:colOff>
                    <xdr:row>1667</xdr:row>
                    <xdr:rowOff>0</xdr:rowOff>
                  </from>
                  <to>
                    <xdr:col>7</xdr:col>
                    <xdr:colOff>0</xdr:colOff>
                    <xdr:row>1667</xdr:row>
                    <xdr:rowOff>133350</xdr:rowOff>
                  </to>
                </anchor>
              </controlPr>
            </control>
          </mc:Choice>
        </mc:AlternateContent>
        <mc:AlternateContent xmlns:mc="http://schemas.openxmlformats.org/markup-compatibility/2006">
          <mc:Choice Requires="x14">
            <control shapeId="1937" r:id="rId916" name="Button 913">
              <controlPr defaultSize="0" autoFill="0" autoLine="0" autoPict="0" macro="[1]!Sheet1.deleteRow">
                <anchor moveWithCells="1" sizeWithCells="1">
                  <from>
                    <xdr:col>6</xdr:col>
                    <xdr:colOff>0</xdr:colOff>
                    <xdr:row>1668</xdr:row>
                    <xdr:rowOff>0</xdr:rowOff>
                  </from>
                  <to>
                    <xdr:col>7</xdr:col>
                    <xdr:colOff>0</xdr:colOff>
                    <xdr:row>1668</xdr:row>
                    <xdr:rowOff>133350</xdr:rowOff>
                  </to>
                </anchor>
              </controlPr>
            </control>
          </mc:Choice>
        </mc:AlternateContent>
        <mc:AlternateContent xmlns:mc="http://schemas.openxmlformats.org/markup-compatibility/2006">
          <mc:Choice Requires="x14">
            <control shapeId="1938" r:id="rId917" name="Button 914">
              <controlPr defaultSize="0" autoFill="0" autoLine="0" autoPict="0" macro="[1]!Sheet1.deleteRow">
                <anchor moveWithCells="1" sizeWithCells="1">
                  <from>
                    <xdr:col>6</xdr:col>
                    <xdr:colOff>0</xdr:colOff>
                    <xdr:row>1669</xdr:row>
                    <xdr:rowOff>0</xdr:rowOff>
                  </from>
                  <to>
                    <xdr:col>7</xdr:col>
                    <xdr:colOff>0</xdr:colOff>
                    <xdr:row>1669</xdr:row>
                    <xdr:rowOff>133350</xdr:rowOff>
                  </to>
                </anchor>
              </controlPr>
            </control>
          </mc:Choice>
        </mc:AlternateContent>
        <mc:AlternateContent xmlns:mc="http://schemas.openxmlformats.org/markup-compatibility/2006">
          <mc:Choice Requires="x14">
            <control shapeId="1939" r:id="rId918" name="Button 915">
              <controlPr defaultSize="0" autoFill="0" autoLine="0" autoPict="0" macro="[1]!Sheet1.deleteProcedure">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1940" r:id="rId919" name="Button 916">
              <controlPr defaultSize="0" autoFill="0" autoLine="0" autoPict="0" macro="[1]!Sheet1.InsertNewTableRow">
                <anchor moveWithCells="1" sizeWithCells="1">
                  <from>
                    <xdr:col>6</xdr:col>
                    <xdr:colOff>0</xdr:colOff>
                    <xdr:row>1679</xdr:row>
                    <xdr:rowOff>0</xdr:rowOff>
                  </from>
                  <to>
                    <xdr:col>7</xdr:col>
                    <xdr:colOff>0</xdr:colOff>
                    <xdr:row>1680</xdr:row>
                    <xdr:rowOff>0</xdr:rowOff>
                  </to>
                </anchor>
              </controlPr>
            </control>
          </mc:Choice>
        </mc:AlternateContent>
        <mc:AlternateContent xmlns:mc="http://schemas.openxmlformats.org/markup-compatibility/2006">
          <mc:Choice Requires="x14">
            <control shapeId="1941" r:id="rId920" name="Button 917">
              <controlPr defaultSize="0" autoFill="0" autoLine="0" autoPict="0" macro="[1]!Sheet1.deleteRow">
                <anchor moveWithCells="1" sizeWithCells="1">
                  <from>
                    <xdr:col>6</xdr:col>
                    <xdr:colOff>0</xdr:colOff>
                    <xdr:row>1680</xdr:row>
                    <xdr:rowOff>0</xdr:rowOff>
                  </from>
                  <to>
                    <xdr:col>7</xdr:col>
                    <xdr:colOff>0</xdr:colOff>
                    <xdr:row>1680</xdr:row>
                    <xdr:rowOff>133350</xdr:rowOff>
                  </to>
                </anchor>
              </controlPr>
            </control>
          </mc:Choice>
        </mc:AlternateContent>
        <mc:AlternateContent xmlns:mc="http://schemas.openxmlformats.org/markup-compatibility/2006">
          <mc:Choice Requires="x14">
            <control shapeId="1942" r:id="rId921" name="Button 918">
              <controlPr defaultSize="0" autoFill="0" autoLine="0" autoPict="0" macro="[1]!Sheet1.deleteRow">
                <anchor moveWithCells="1" sizeWithCells="1">
                  <from>
                    <xdr:col>6</xdr:col>
                    <xdr:colOff>0</xdr:colOff>
                    <xdr:row>1681</xdr:row>
                    <xdr:rowOff>0</xdr:rowOff>
                  </from>
                  <to>
                    <xdr:col>7</xdr:col>
                    <xdr:colOff>0</xdr:colOff>
                    <xdr:row>1681</xdr:row>
                    <xdr:rowOff>133350</xdr:rowOff>
                  </to>
                </anchor>
              </controlPr>
            </control>
          </mc:Choice>
        </mc:AlternateContent>
        <mc:AlternateContent xmlns:mc="http://schemas.openxmlformats.org/markup-compatibility/2006">
          <mc:Choice Requires="x14">
            <control shapeId="1943" r:id="rId922" name="Button 919">
              <controlPr defaultSize="0" autoFill="0" autoLine="0" autoPict="0" macro="[1]!Sheet1.deleteProcedure">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1944" r:id="rId923" name="Button 920">
              <controlPr defaultSize="0" autoFill="0" autoLine="0" autoPict="0" macro="[1]!Sheet1.InsertNewTableRow">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1945" r:id="rId924" name="Button 921">
              <controlPr defaultSize="0" autoFill="0" autoLine="0" autoPict="0" macro="[1]!Sheet1.deleteRow">
                <anchor moveWithCells="1" sizeWithCells="1">
                  <from>
                    <xdr:col>6</xdr:col>
                    <xdr:colOff>0</xdr:colOff>
                    <xdr:row>1692</xdr:row>
                    <xdr:rowOff>0</xdr:rowOff>
                  </from>
                  <to>
                    <xdr:col>7</xdr:col>
                    <xdr:colOff>0</xdr:colOff>
                    <xdr:row>1692</xdr:row>
                    <xdr:rowOff>133350</xdr:rowOff>
                  </to>
                </anchor>
              </controlPr>
            </control>
          </mc:Choice>
        </mc:AlternateContent>
        <mc:AlternateContent xmlns:mc="http://schemas.openxmlformats.org/markup-compatibility/2006">
          <mc:Choice Requires="x14">
            <control shapeId="1946" r:id="rId925" name="Button 922">
              <controlPr defaultSize="0" autoFill="0" autoLine="0" autoPict="0" macro="[1]!Sheet1.deleteRow">
                <anchor moveWithCells="1" sizeWithCells="1">
                  <from>
                    <xdr:col>6</xdr:col>
                    <xdr:colOff>0</xdr:colOff>
                    <xdr:row>1693</xdr:row>
                    <xdr:rowOff>0</xdr:rowOff>
                  </from>
                  <to>
                    <xdr:col>7</xdr:col>
                    <xdr:colOff>0</xdr:colOff>
                    <xdr:row>1693</xdr:row>
                    <xdr:rowOff>133350</xdr:rowOff>
                  </to>
                </anchor>
              </controlPr>
            </control>
          </mc:Choice>
        </mc:AlternateContent>
        <mc:AlternateContent xmlns:mc="http://schemas.openxmlformats.org/markup-compatibility/2006">
          <mc:Choice Requires="x14">
            <control shapeId="1947" r:id="rId926" name="Button 923">
              <controlPr defaultSize="0" autoFill="0" autoLine="0" autoPict="0" macro="[1]!Sheet1.deleteProcedure">
                <anchor moveWithCells="1" sizeWithCells="1">
                  <from>
                    <xdr:col>6</xdr:col>
                    <xdr:colOff>0</xdr:colOff>
                    <xdr:row>1696</xdr:row>
                    <xdr:rowOff>0</xdr:rowOff>
                  </from>
                  <to>
                    <xdr:col>7</xdr:col>
                    <xdr:colOff>0</xdr:colOff>
                    <xdr:row>1697</xdr:row>
                    <xdr:rowOff>0</xdr:rowOff>
                  </to>
                </anchor>
              </controlPr>
            </control>
          </mc:Choice>
        </mc:AlternateContent>
        <mc:AlternateContent xmlns:mc="http://schemas.openxmlformats.org/markup-compatibility/2006">
          <mc:Choice Requires="x14">
            <control shapeId="1948" r:id="rId927" name="Button 924">
              <controlPr defaultSize="0" autoFill="0" autoLine="0" autoPict="0" macro="[1]!Sheet1.InsertNewTableRow">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1949" r:id="rId928" name="Button 925">
              <controlPr defaultSize="0" autoFill="0" autoLine="0" autoPict="0" macro="[1]!Sheet1.deleteRow">
                <anchor moveWithCells="1" sizeWithCells="1">
                  <from>
                    <xdr:col>6</xdr:col>
                    <xdr:colOff>0</xdr:colOff>
                    <xdr:row>1704</xdr:row>
                    <xdr:rowOff>0</xdr:rowOff>
                  </from>
                  <to>
                    <xdr:col>7</xdr:col>
                    <xdr:colOff>0</xdr:colOff>
                    <xdr:row>1704</xdr:row>
                    <xdr:rowOff>133350</xdr:rowOff>
                  </to>
                </anchor>
              </controlPr>
            </control>
          </mc:Choice>
        </mc:AlternateContent>
        <mc:AlternateContent xmlns:mc="http://schemas.openxmlformats.org/markup-compatibility/2006">
          <mc:Choice Requires="x14">
            <control shapeId="1950" r:id="rId929" name="Button 926">
              <controlPr defaultSize="0" autoFill="0" autoLine="0" autoPict="0" macro="[1]!Sheet1.deleteRow">
                <anchor moveWithCells="1" sizeWithCells="1">
                  <from>
                    <xdr:col>6</xdr:col>
                    <xdr:colOff>0</xdr:colOff>
                    <xdr:row>1705</xdr:row>
                    <xdr:rowOff>0</xdr:rowOff>
                  </from>
                  <to>
                    <xdr:col>7</xdr:col>
                    <xdr:colOff>0</xdr:colOff>
                    <xdr:row>1705</xdr:row>
                    <xdr:rowOff>133350</xdr:rowOff>
                  </to>
                </anchor>
              </controlPr>
            </control>
          </mc:Choice>
        </mc:AlternateContent>
        <mc:AlternateContent xmlns:mc="http://schemas.openxmlformats.org/markup-compatibility/2006">
          <mc:Choice Requires="x14">
            <control shapeId="1951" r:id="rId930" name="Button 927">
              <controlPr defaultSize="0" autoFill="0" autoLine="0" autoPict="0" macro="[1]!Sheet1.deleteRow">
                <anchor moveWithCells="1" sizeWithCells="1">
                  <from>
                    <xdr:col>6</xdr:col>
                    <xdr:colOff>0</xdr:colOff>
                    <xdr:row>1706</xdr:row>
                    <xdr:rowOff>0</xdr:rowOff>
                  </from>
                  <to>
                    <xdr:col>7</xdr:col>
                    <xdr:colOff>0</xdr:colOff>
                    <xdr:row>1706</xdr:row>
                    <xdr:rowOff>133350</xdr:rowOff>
                  </to>
                </anchor>
              </controlPr>
            </control>
          </mc:Choice>
        </mc:AlternateContent>
        <mc:AlternateContent xmlns:mc="http://schemas.openxmlformats.org/markup-compatibility/2006">
          <mc:Choice Requires="x14">
            <control shapeId="1952" r:id="rId931" name="Button 928">
              <controlPr defaultSize="0" autoFill="0" autoLine="0" autoPict="0" macro="[1]!Sheet1.deleteProcedure">
                <anchor moveWithCells="1" sizeWithCells="1">
                  <from>
                    <xdr:col>6</xdr:col>
                    <xdr:colOff>0</xdr:colOff>
                    <xdr:row>1709</xdr:row>
                    <xdr:rowOff>0</xdr:rowOff>
                  </from>
                  <to>
                    <xdr:col>7</xdr:col>
                    <xdr:colOff>0</xdr:colOff>
                    <xdr:row>1710</xdr:row>
                    <xdr:rowOff>0</xdr:rowOff>
                  </to>
                </anchor>
              </controlPr>
            </control>
          </mc:Choice>
        </mc:AlternateContent>
        <mc:AlternateContent xmlns:mc="http://schemas.openxmlformats.org/markup-compatibility/2006">
          <mc:Choice Requires="x14">
            <control shapeId="1953" r:id="rId932" name="Button 929">
              <controlPr defaultSize="0" autoFill="0" autoLine="0" autoPict="0" macro="[1]!Sheet1.InsertNewTableRow">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1954" r:id="rId933" name="Button 930">
              <controlPr defaultSize="0" autoFill="0" autoLine="0" autoPict="0" macro="[1]!Sheet1.deleteRow">
                <anchor moveWithCells="1" sizeWithCells="1">
                  <from>
                    <xdr:col>6</xdr:col>
                    <xdr:colOff>0</xdr:colOff>
                    <xdr:row>1717</xdr:row>
                    <xdr:rowOff>0</xdr:rowOff>
                  </from>
                  <to>
                    <xdr:col>7</xdr:col>
                    <xdr:colOff>0</xdr:colOff>
                    <xdr:row>1717</xdr:row>
                    <xdr:rowOff>133350</xdr:rowOff>
                  </to>
                </anchor>
              </controlPr>
            </control>
          </mc:Choice>
        </mc:AlternateContent>
        <mc:AlternateContent xmlns:mc="http://schemas.openxmlformats.org/markup-compatibility/2006">
          <mc:Choice Requires="x14">
            <control shapeId="1955" r:id="rId934" name="Button 931">
              <controlPr defaultSize="0" autoFill="0" autoLine="0" autoPict="0" macro="[1]!Sheet1.deleteRow">
                <anchor moveWithCells="1" sizeWithCells="1">
                  <from>
                    <xdr:col>6</xdr:col>
                    <xdr:colOff>0</xdr:colOff>
                    <xdr:row>1718</xdr:row>
                    <xdr:rowOff>0</xdr:rowOff>
                  </from>
                  <to>
                    <xdr:col>7</xdr:col>
                    <xdr:colOff>0</xdr:colOff>
                    <xdr:row>1718</xdr:row>
                    <xdr:rowOff>133350</xdr:rowOff>
                  </to>
                </anchor>
              </controlPr>
            </control>
          </mc:Choice>
        </mc:AlternateContent>
        <mc:AlternateContent xmlns:mc="http://schemas.openxmlformats.org/markup-compatibility/2006">
          <mc:Choice Requires="x14">
            <control shapeId="1956" r:id="rId935" name="Button 932">
              <controlPr defaultSize="0" autoFill="0" autoLine="0" autoPict="0" macro="[1]!Sheet1.deleteProcedure">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1957" r:id="rId936" name="Button 933">
              <controlPr defaultSize="0" autoFill="0" autoLine="0" autoPict="0" macro="[1]!Sheet1.InsertNewTableRow">
                <anchor moveWithCells="1" sizeWithCells="1">
                  <from>
                    <xdr:col>6</xdr:col>
                    <xdr:colOff>0</xdr:colOff>
                    <xdr:row>1728</xdr:row>
                    <xdr:rowOff>0</xdr:rowOff>
                  </from>
                  <to>
                    <xdr:col>7</xdr:col>
                    <xdr:colOff>0</xdr:colOff>
                    <xdr:row>1729</xdr:row>
                    <xdr:rowOff>0</xdr:rowOff>
                  </to>
                </anchor>
              </controlPr>
            </control>
          </mc:Choice>
        </mc:AlternateContent>
        <mc:AlternateContent xmlns:mc="http://schemas.openxmlformats.org/markup-compatibility/2006">
          <mc:Choice Requires="x14">
            <control shapeId="1958" r:id="rId937" name="Button 934">
              <controlPr defaultSize="0" autoFill="0" autoLine="0" autoPict="0" macro="[1]!Sheet1.deleteRow">
                <anchor moveWithCells="1" sizeWithCells="1">
                  <from>
                    <xdr:col>6</xdr:col>
                    <xdr:colOff>0</xdr:colOff>
                    <xdr:row>1729</xdr:row>
                    <xdr:rowOff>0</xdr:rowOff>
                  </from>
                  <to>
                    <xdr:col>7</xdr:col>
                    <xdr:colOff>0</xdr:colOff>
                    <xdr:row>1729</xdr:row>
                    <xdr:rowOff>133350</xdr:rowOff>
                  </to>
                </anchor>
              </controlPr>
            </control>
          </mc:Choice>
        </mc:AlternateContent>
        <mc:AlternateContent xmlns:mc="http://schemas.openxmlformats.org/markup-compatibility/2006">
          <mc:Choice Requires="x14">
            <control shapeId="1959" r:id="rId938" name="Button 935">
              <controlPr defaultSize="0" autoFill="0" autoLine="0" autoPict="0" macro="[1]!Sheet1.deleteRow">
                <anchor moveWithCells="1" sizeWithCells="1">
                  <from>
                    <xdr:col>6</xdr:col>
                    <xdr:colOff>0</xdr:colOff>
                    <xdr:row>1730</xdr:row>
                    <xdr:rowOff>0</xdr:rowOff>
                  </from>
                  <to>
                    <xdr:col>7</xdr:col>
                    <xdr:colOff>0</xdr:colOff>
                    <xdr:row>1730</xdr:row>
                    <xdr:rowOff>133350</xdr:rowOff>
                  </to>
                </anchor>
              </controlPr>
            </control>
          </mc:Choice>
        </mc:AlternateContent>
        <mc:AlternateContent xmlns:mc="http://schemas.openxmlformats.org/markup-compatibility/2006">
          <mc:Choice Requires="x14">
            <control shapeId="1960" r:id="rId939" name="Button 936">
              <controlPr defaultSize="0" autoFill="0" autoLine="0" autoPict="0" macro="[1]!Sheet1.deleteProcedure">
                <anchor moveWithCells="1" sizeWithCells="1">
                  <from>
                    <xdr:col>6</xdr:col>
                    <xdr:colOff>0</xdr:colOff>
                    <xdr:row>1733</xdr:row>
                    <xdr:rowOff>0</xdr:rowOff>
                  </from>
                  <to>
                    <xdr:col>7</xdr:col>
                    <xdr:colOff>0</xdr:colOff>
                    <xdr:row>1734</xdr:row>
                    <xdr:rowOff>0</xdr:rowOff>
                  </to>
                </anchor>
              </controlPr>
            </control>
          </mc:Choice>
        </mc:AlternateContent>
        <mc:AlternateContent xmlns:mc="http://schemas.openxmlformats.org/markup-compatibility/2006">
          <mc:Choice Requires="x14">
            <control shapeId="1961" r:id="rId940" name="Button 937">
              <controlPr defaultSize="0" autoFill="0" autoLine="0" autoPict="0" macro="[1]!Sheet1.InsertNewTableRow">
                <anchor moveWithCells="1" sizeWithCells="1">
                  <from>
                    <xdr:col>6</xdr:col>
                    <xdr:colOff>0</xdr:colOff>
                    <xdr:row>1740</xdr:row>
                    <xdr:rowOff>0</xdr:rowOff>
                  </from>
                  <to>
                    <xdr:col>7</xdr:col>
                    <xdr:colOff>0</xdr:colOff>
                    <xdr:row>1741</xdr:row>
                    <xdr:rowOff>0</xdr:rowOff>
                  </to>
                </anchor>
              </controlPr>
            </control>
          </mc:Choice>
        </mc:AlternateContent>
        <mc:AlternateContent xmlns:mc="http://schemas.openxmlformats.org/markup-compatibility/2006">
          <mc:Choice Requires="x14">
            <control shapeId="1962" r:id="rId941" name="Button 938">
              <controlPr defaultSize="0" autoFill="0" autoLine="0" autoPict="0" macro="[1]!Sheet1.deleteRow">
                <anchor moveWithCells="1" sizeWithCells="1">
                  <from>
                    <xdr:col>6</xdr:col>
                    <xdr:colOff>0</xdr:colOff>
                    <xdr:row>1741</xdr:row>
                    <xdr:rowOff>0</xdr:rowOff>
                  </from>
                  <to>
                    <xdr:col>7</xdr:col>
                    <xdr:colOff>0</xdr:colOff>
                    <xdr:row>1741</xdr:row>
                    <xdr:rowOff>133350</xdr:rowOff>
                  </to>
                </anchor>
              </controlPr>
            </control>
          </mc:Choice>
        </mc:AlternateContent>
        <mc:AlternateContent xmlns:mc="http://schemas.openxmlformats.org/markup-compatibility/2006">
          <mc:Choice Requires="x14">
            <control shapeId="1963" r:id="rId942" name="Button 939">
              <controlPr defaultSize="0" autoFill="0" autoLine="0" autoPict="0" macro="[1]!Sheet1.deleteProcedure">
                <anchor moveWithCells="1" sizeWithCells="1">
                  <from>
                    <xdr:col>6</xdr:col>
                    <xdr:colOff>0</xdr:colOff>
                    <xdr:row>1744</xdr:row>
                    <xdr:rowOff>0</xdr:rowOff>
                  </from>
                  <to>
                    <xdr:col>7</xdr:col>
                    <xdr:colOff>0</xdr:colOff>
                    <xdr:row>1745</xdr:row>
                    <xdr:rowOff>0</xdr:rowOff>
                  </to>
                </anchor>
              </controlPr>
            </control>
          </mc:Choice>
        </mc:AlternateContent>
        <mc:AlternateContent xmlns:mc="http://schemas.openxmlformats.org/markup-compatibility/2006">
          <mc:Choice Requires="x14">
            <control shapeId="1964" r:id="rId943" name="Button 940">
              <controlPr defaultSize="0" autoFill="0" autoLine="0" autoPict="0" macro="[1]!Sheet1.InsertNewTableRow">
                <anchor moveWithCells="1" sizeWithCells="1">
                  <from>
                    <xdr:col>6</xdr:col>
                    <xdr:colOff>0</xdr:colOff>
                    <xdr:row>1751</xdr:row>
                    <xdr:rowOff>0</xdr:rowOff>
                  </from>
                  <to>
                    <xdr:col>7</xdr:col>
                    <xdr:colOff>0</xdr:colOff>
                    <xdr:row>1752</xdr:row>
                    <xdr:rowOff>0</xdr:rowOff>
                  </to>
                </anchor>
              </controlPr>
            </control>
          </mc:Choice>
        </mc:AlternateContent>
        <mc:AlternateContent xmlns:mc="http://schemas.openxmlformats.org/markup-compatibility/2006">
          <mc:Choice Requires="x14">
            <control shapeId="1965" r:id="rId944" name="Button 941">
              <controlPr defaultSize="0" autoFill="0" autoLine="0" autoPict="0" macro="[1]!Sheet1.deleteRow">
                <anchor moveWithCells="1" sizeWithCells="1">
                  <from>
                    <xdr:col>6</xdr:col>
                    <xdr:colOff>0</xdr:colOff>
                    <xdr:row>1752</xdr:row>
                    <xdr:rowOff>0</xdr:rowOff>
                  </from>
                  <to>
                    <xdr:col>7</xdr:col>
                    <xdr:colOff>0</xdr:colOff>
                    <xdr:row>1752</xdr:row>
                    <xdr:rowOff>133350</xdr:rowOff>
                  </to>
                </anchor>
              </controlPr>
            </control>
          </mc:Choice>
        </mc:AlternateContent>
        <mc:AlternateContent xmlns:mc="http://schemas.openxmlformats.org/markup-compatibility/2006">
          <mc:Choice Requires="x14">
            <control shapeId="1966" r:id="rId945" name="Button 942">
              <controlPr defaultSize="0" autoFill="0" autoLine="0" autoPict="0" macro="[1]!Sheet1.deleteRow">
                <anchor moveWithCells="1" sizeWithCells="1">
                  <from>
                    <xdr:col>6</xdr:col>
                    <xdr:colOff>0</xdr:colOff>
                    <xdr:row>1753</xdr:row>
                    <xdr:rowOff>0</xdr:rowOff>
                  </from>
                  <to>
                    <xdr:col>7</xdr:col>
                    <xdr:colOff>0</xdr:colOff>
                    <xdr:row>1753</xdr:row>
                    <xdr:rowOff>133350</xdr:rowOff>
                  </to>
                </anchor>
              </controlPr>
            </control>
          </mc:Choice>
        </mc:AlternateContent>
        <mc:AlternateContent xmlns:mc="http://schemas.openxmlformats.org/markup-compatibility/2006">
          <mc:Choice Requires="x14">
            <control shapeId="1967" r:id="rId946" name="Button 943">
              <controlPr defaultSize="0" autoFill="0" autoLine="0" autoPict="0" macro="[1]!Sheet1.deleteRow">
                <anchor moveWithCells="1" sizeWithCells="1">
                  <from>
                    <xdr:col>6</xdr:col>
                    <xdr:colOff>0</xdr:colOff>
                    <xdr:row>1754</xdr:row>
                    <xdr:rowOff>0</xdr:rowOff>
                  </from>
                  <to>
                    <xdr:col>7</xdr:col>
                    <xdr:colOff>0</xdr:colOff>
                    <xdr:row>1754</xdr:row>
                    <xdr:rowOff>133350</xdr:rowOff>
                  </to>
                </anchor>
              </controlPr>
            </control>
          </mc:Choice>
        </mc:AlternateContent>
        <mc:AlternateContent xmlns:mc="http://schemas.openxmlformats.org/markup-compatibility/2006">
          <mc:Choice Requires="x14">
            <control shapeId="1968" r:id="rId947" name="Button 944">
              <controlPr defaultSize="0" autoFill="0" autoLine="0" autoPict="0" macro="[1]!Sheet1.deleteRow">
                <anchor moveWithCells="1" sizeWithCells="1">
                  <from>
                    <xdr:col>6</xdr:col>
                    <xdr:colOff>0</xdr:colOff>
                    <xdr:row>1755</xdr:row>
                    <xdr:rowOff>0</xdr:rowOff>
                  </from>
                  <to>
                    <xdr:col>7</xdr:col>
                    <xdr:colOff>0</xdr:colOff>
                    <xdr:row>1755</xdr:row>
                    <xdr:rowOff>133350</xdr:rowOff>
                  </to>
                </anchor>
              </controlPr>
            </control>
          </mc:Choice>
        </mc:AlternateContent>
        <mc:AlternateContent xmlns:mc="http://schemas.openxmlformats.org/markup-compatibility/2006">
          <mc:Choice Requires="x14">
            <control shapeId="1969" r:id="rId948" name="Button 945">
              <controlPr defaultSize="0" autoFill="0" autoLine="0" autoPict="0" macro="[1]!Sheet1.deleteRow">
                <anchor moveWithCells="1" sizeWithCells="1">
                  <from>
                    <xdr:col>6</xdr:col>
                    <xdr:colOff>0</xdr:colOff>
                    <xdr:row>1756</xdr:row>
                    <xdr:rowOff>0</xdr:rowOff>
                  </from>
                  <to>
                    <xdr:col>7</xdr:col>
                    <xdr:colOff>0</xdr:colOff>
                    <xdr:row>1756</xdr:row>
                    <xdr:rowOff>133350</xdr:rowOff>
                  </to>
                </anchor>
              </controlPr>
            </control>
          </mc:Choice>
        </mc:AlternateContent>
        <mc:AlternateContent xmlns:mc="http://schemas.openxmlformats.org/markup-compatibility/2006">
          <mc:Choice Requires="x14">
            <control shapeId="1970" r:id="rId949" name="Button 946">
              <controlPr defaultSize="0" autoFill="0" autoLine="0" autoPict="0" macro="[1]!Sheet1.deleteRow">
                <anchor moveWithCells="1" sizeWithCells="1">
                  <from>
                    <xdr:col>6</xdr:col>
                    <xdr:colOff>0</xdr:colOff>
                    <xdr:row>1757</xdr:row>
                    <xdr:rowOff>0</xdr:rowOff>
                  </from>
                  <to>
                    <xdr:col>7</xdr:col>
                    <xdr:colOff>0</xdr:colOff>
                    <xdr:row>1757</xdr:row>
                    <xdr:rowOff>133350</xdr:rowOff>
                  </to>
                </anchor>
              </controlPr>
            </control>
          </mc:Choice>
        </mc:AlternateContent>
        <mc:AlternateContent xmlns:mc="http://schemas.openxmlformats.org/markup-compatibility/2006">
          <mc:Choice Requires="x14">
            <control shapeId="1971" r:id="rId950" name="Button 947">
              <controlPr defaultSize="0" autoFill="0" autoLine="0" autoPict="0" macro="[1]!Sheet1.deleteRow">
                <anchor moveWithCells="1" sizeWithCells="1">
                  <from>
                    <xdr:col>6</xdr:col>
                    <xdr:colOff>0</xdr:colOff>
                    <xdr:row>1758</xdr:row>
                    <xdr:rowOff>0</xdr:rowOff>
                  </from>
                  <to>
                    <xdr:col>7</xdr:col>
                    <xdr:colOff>0</xdr:colOff>
                    <xdr:row>1758</xdr:row>
                    <xdr:rowOff>133350</xdr:rowOff>
                  </to>
                </anchor>
              </controlPr>
            </control>
          </mc:Choice>
        </mc:AlternateContent>
        <mc:AlternateContent xmlns:mc="http://schemas.openxmlformats.org/markup-compatibility/2006">
          <mc:Choice Requires="x14">
            <control shapeId="1972" r:id="rId951" name="Button 948">
              <controlPr defaultSize="0" autoFill="0" autoLine="0" autoPict="0" macro="[1]!Sheet1.deleteRow">
                <anchor moveWithCells="1" sizeWithCells="1">
                  <from>
                    <xdr:col>6</xdr:col>
                    <xdr:colOff>0</xdr:colOff>
                    <xdr:row>1759</xdr:row>
                    <xdr:rowOff>0</xdr:rowOff>
                  </from>
                  <to>
                    <xdr:col>7</xdr:col>
                    <xdr:colOff>0</xdr:colOff>
                    <xdr:row>1759</xdr:row>
                    <xdr:rowOff>133350</xdr:rowOff>
                  </to>
                </anchor>
              </controlPr>
            </control>
          </mc:Choice>
        </mc:AlternateContent>
        <mc:AlternateContent xmlns:mc="http://schemas.openxmlformats.org/markup-compatibility/2006">
          <mc:Choice Requires="x14">
            <control shapeId="1973" r:id="rId952" name="Button 949">
              <controlPr defaultSize="0" autoFill="0" autoLine="0" autoPict="0" macro="[1]!Sheet1.deleteRow">
                <anchor moveWithCells="1" sizeWithCells="1">
                  <from>
                    <xdr:col>6</xdr:col>
                    <xdr:colOff>0</xdr:colOff>
                    <xdr:row>1760</xdr:row>
                    <xdr:rowOff>0</xdr:rowOff>
                  </from>
                  <to>
                    <xdr:col>7</xdr:col>
                    <xdr:colOff>0</xdr:colOff>
                    <xdr:row>1760</xdr:row>
                    <xdr:rowOff>133350</xdr:rowOff>
                  </to>
                </anchor>
              </controlPr>
            </control>
          </mc:Choice>
        </mc:AlternateContent>
        <mc:AlternateContent xmlns:mc="http://schemas.openxmlformats.org/markup-compatibility/2006">
          <mc:Choice Requires="x14">
            <control shapeId="1974" r:id="rId953" name="Button 950">
              <controlPr defaultSize="0" autoFill="0" autoLine="0" autoPict="0" macro="[1]!Sheet1.deleteRow">
                <anchor moveWithCells="1" sizeWithCells="1">
                  <from>
                    <xdr:col>6</xdr:col>
                    <xdr:colOff>0</xdr:colOff>
                    <xdr:row>1761</xdr:row>
                    <xdr:rowOff>0</xdr:rowOff>
                  </from>
                  <to>
                    <xdr:col>7</xdr:col>
                    <xdr:colOff>0</xdr:colOff>
                    <xdr:row>1761</xdr:row>
                    <xdr:rowOff>133350</xdr:rowOff>
                  </to>
                </anchor>
              </controlPr>
            </control>
          </mc:Choice>
        </mc:AlternateContent>
        <mc:AlternateContent xmlns:mc="http://schemas.openxmlformats.org/markup-compatibility/2006">
          <mc:Choice Requires="x14">
            <control shapeId="1975" r:id="rId954" name="Button 951">
              <controlPr defaultSize="0" autoFill="0" autoLine="0" autoPict="0" macro="[1]!Sheet1.deleteRow">
                <anchor moveWithCells="1" sizeWithCells="1">
                  <from>
                    <xdr:col>6</xdr:col>
                    <xdr:colOff>0</xdr:colOff>
                    <xdr:row>1762</xdr:row>
                    <xdr:rowOff>0</xdr:rowOff>
                  </from>
                  <to>
                    <xdr:col>7</xdr:col>
                    <xdr:colOff>0</xdr:colOff>
                    <xdr:row>1762</xdr:row>
                    <xdr:rowOff>133350</xdr:rowOff>
                  </to>
                </anchor>
              </controlPr>
            </control>
          </mc:Choice>
        </mc:AlternateContent>
        <mc:AlternateContent xmlns:mc="http://schemas.openxmlformats.org/markup-compatibility/2006">
          <mc:Choice Requires="x14">
            <control shapeId="1976" r:id="rId955" name="Button 952">
              <controlPr defaultSize="0" autoFill="0" autoLine="0" autoPict="0" macro="[1]!Sheet1.deleteRow">
                <anchor moveWithCells="1" sizeWithCells="1">
                  <from>
                    <xdr:col>6</xdr:col>
                    <xdr:colOff>0</xdr:colOff>
                    <xdr:row>1763</xdr:row>
                    <xdr:rowOff>0</xdr:rowOff>
                  </from>
                  <to>
                    <xdr:col>7</xdr:col>
                    <xdr:colOff>0</xdr:colOff>
                    <xdr:row>1763</xdr:row>
                    <xdr:rowOff>133350</xdr:rowOff>
                  </to>
                </anchor>
              </controlPr>
            </control>
          </mc:Choice>
        </mc:AlternateContent>
        <mc:AlternateContent xmlns:mc="http://schemas.openxmlformats.org/markup-compatibility/2006">
          <mc:Choice Requires="x14">
            <control shapeId="1977" r:id="rId956" name="Button 953">
              <controlPr defaultSize="0" autoFill="0" autoLine="0" autoPict="0" macro="[1]!Sheet1.deleteProcedure">
                <anchor moveWithCells="1" sizeWithCells="1">
                  <from>
                    <xdr:col>6</xdr:col>
                    <xdr:colOff>0</xdr:colOff>
                    <xdr:row>1766</xdr:row>
                    <xdr:rowOff>0</xdr:rowOff>
                  </from>
                  <to>
                    <xdr:col>7</xdr:col>
                    <xdr:colOff>0</xdr:colOff>
                    <xdr:row>1767</xdr:row>
                    <xdr:rowOff>0</xdr:rowOff>
                  </to>
                </anchor>
              </controlPr>
            </control>
          </mc:Choice>
        </mc:AlternateContent>
        <mc:AlternateContent xmlns:mc="http://schemas.openxmlformats.org/markup-compatibility/2006">
          <mc:Choice Requires="x14">
            <control shapeId="1978" r:id="rId957" name="Button 954">
              <controlPr defaultSize="0" autoFill="0" autoLine="0" autoPict="0" macro="[1]!Sheet1.InsertNewTableRow">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1979" r:id="rId958" name="Button 955">
              <controlPr defaultSize="0" autoFill="0" autoLine="0" autoPict="0" macro="[1]!Sheet1.deleteRow">
                <anchor moveWithCells="1" sizeWithCells="1">
                  <from>
                    <xdr:col>6</xdr:col>
                    <xdr:colOff>0</xdr:colOff>
                    <xdr:row>1774</xdr:row>
                    <xdr:rowOff>0</xdr:rowOff>
                  </from>
                  <to>
                    <xdr:col>7</xdr:col>
                    <xdr:colOff>0</xdr:colOff>
                    <xdr:row>1774</xdr:row>
                    <xdr:rowOff>133350</xdr:rowOff>
                  </to>
                </anchor>
              </controlPr>
            </control>
          </mc:Choice>
        </mc:AlternateContent>
        <mc:AlternateContent xmlns:mc="http://schemas.openxmlformats.org/markup-compatibility/2006">
          <mc:Choice Requires="x14">
            <control shapeId="1980" r:id="rId959" name="Button 956">
              <controlPr defaultSize="0" autoFill="0" autoLine="0" autoPict="0" macro="[1]!Sheet1.deleteRow">
                <anchor moveWithCells="1" sizeWithCells="1">
                  <from>
                    <xdr:col>6</xdr:col>
                    <xdr:colOff>0</xdr:colOff>
                    <xdr:row>1775</xdr:row>
                    <xdr:rowOff>0</xdr:rowOff>
                  </from>
                  <to>
                    <xdr:col>7</xdr:col>
                    <xdr:colOff>0</xdr:colOff>
                    <xdr:row>1775</xdr:row>
                    <xdr:rowOff>133350</xdr:rowOff>
                  </to>
                </anchor>
              </controlPr>
            </control>
          </mc:Choice>
        </mc:AlternateContent>
        <mc:AlternateContent xmlns:mc="http://schemas.openxmlformats.org/markup-compatibility/2006">
          <mc:Choice Requires="x14">
            <control shapeId="1981" r:id="rId960" name="Button 957">
              <controlPr defaultSize="0" autoFill="0" autoLine="0" autoPict="0" macro="[1]!Sheet1.deleteRow">
                <anchor moveWithCells="1" sizeWithCells="1">
                  <from>
                    <xdr:col>6</xdr:col>
                    <xdr:colOff>0</xdr:colOff>
                    <xdr:row>1776</xdr:row>
                    <xdr:rowOff>0</xdr:rowOff>
                  </from>
                  <to>
                    <xdr:col>7</xdr:col>
                    <xdr:colOff>0</xdr:colOff>
                    <xdr:row>1776</xdr:row>
                    <xdr:rowOff>133350</xdr:rowOff>
                  </to>
                </anchor>
              </controlPr>
            </control>
          </mc:Choice>
        </mc:AlternateContent>
        <mc:AlternateContent xmlns:mc="http://schemas.openxmlformats.org/markup-compatibility/2006">
          <mc:Choice Requires="x14">
            <control shapeId="1982" r:id="rId961" name="Button 958">
              <controlPr defaultSize="0" autoFill="0" autoLine="0" autoPict="0" macro="[1]!Sheet1.deleteRow">
                <anchor moveWithCells="1" sizeWithCells="1">
                  <from>
                    <xdr:col>6</xdr:col>
                    <xdr:colOff>0</xdr:colOff>
                    <xdr:row>1777</xdr:row>
                    <xdr:rowOff>0</xdr:rowOff>
                  </from>
                  <to>
                    <xdr:col>7</xdr:col>
                    <xdr:colOff>0</xdr:colOff>
                    <xdr:row>1777</xdr:row>
                    <xdr:rowOff>133350</xdr:rowOff>
                  </to>
                </anchor>
              </controlPr>
            </control>
          </mc:Choice>
        </mc:AlternateContent>
        <mc:AlternateContent xmlns:mc="http://schemas.openxmlformats.org/markup-compatibility/2006">
          <mc:Choice Requires="x14">
            <control shapeId="1983" r:id="rId962" name="Button 959">
              <controlPr defaultSize="0" autoFill="0" autoLine="0" autoPict="0" macro="[1]!Sheet1.deleteRow">
                <anchor moveWithCells="1" sizeWithCells="1">
                  <from>
                    <xdr:col>6</xdr:col>
                    <xdr:colOff>0</xdr:colOff>
                    <xdr:row>1778</xdr:row>
                    <xdr:rowOff>0</xdr:rowOff>
                  </from>
                  <to>
                    <xdr:col>7</xdr:col>
                    <xdr:colOff>0</xdr:colOff>
                    <xdr:row>1778</xdr:row>
                    <xdr:rowOff>133350</xdr:rowOff>
                  </to>
                </anchor>
              </controlPr>
            </control>
          </mc:Choice>
        </mc:AlternateContent>
        <mc:AlternateContent xmlns:mc="http://schemas.openxmlformats.org/markup-compatibility/2006">
          <mc:Choice Requires="x14">
            <control shapeId="1984" r:id="rId963" name="Button 960">
              <controlPr defaultSize="0" autoFill="0" autoLine="0" autoPict="0" macro="[1]!Sheet1.deleteRow">
                <anchor moveWithCells="1" sizeWithCells="1">
                  <from>
                    <xdr:col>6</xdr:col>
                    <xdr:colOff>0</xdr:colOff>
                    <xdr:row>1779</xdr:row>
                    <xdr:rowOff>0</xdr:rowOff>
                  </from>
                  <to>
                    <xdr:col>7</xdr:col>
                    <xdr:colOff>0</xdr:colOff>
                    <xdr:row>1779</xdr:row>
                    <xdr:rowOff>133350</xdr:rowOff>
                  </to>
                </anchor>
              </controlPr>
            </control>
          </mc:Choice>
        </mc:AlternateContent>
        <mc:AlternateContent xmlns:mc="http://schemas.openxmlformats.org/markup-compatibility/2006">
          <mc:Choice Requires="x14">
            <control shapeId="1985" r:id="rId964" name="Button 961">
              <controlPr defaultSize="0" autoFill="0" autoLine="0" autoPict="0" macro="[1]!Sheet1.deleteRow">
                <anchor moveWithCells="1" sizeWithCells="1">
                  <from>
                    <xdr:col>6</xdr:col>
                    <xdr:colOff>0</xdr:colOff>
                    <xdr:row>1780</xdr:row>
                    <xdr:rowOff>0</xdr:rowOff>
                  </from>
                  <to>
                    <xdr:col>7</xdr:col>
                    <xdr:colOff>0</xdr:colOff>
                    <xdr:row>1780</xdr:row>
                    <xdr:rowOff>133350</xdr:rowOff>
                  </to>
                </anchor>
              </controlPr>
            </control>
          </mc:Choice>
        </mc:AlternateContent>
        <mc:AlternateContent xmlns:mc="http://schemas.openxmlformats.org/markup-compatibility/2006">
          <mc:Choice Requires="x14">
            <control shapeId="1986" r:id="rId965" name="Button 962">
              <controlPr defaultSize="0" autoFill="0" autoLine="0" autoPict="0" macro="[1]!Sheet1.deleteRow">
                <anchor moveWithCells="1" sizeWithCells="1">
                  <from>
                    <xdr:col>6</xdr:col>
                    <xdr:colOff>0</xdr:colOff>
                    <xdr:row>1781</xdr:row>
                    <xdr:rowOff>0</xdr:rowOff>
                  </from>
                  <to>
                    <xdr:col>7</xdr:col>
                    <xdr:colOff>0</xdr:colOff>
                    <xdr:row>1781</xdr:row>
                    <xdr:rowOff>133350</xdr:rowOff>
                  </to>
                </anchor>
              </controlPr>
            </control>
          </mc:Choice>
        </mc:AlternateContent>
        <mc:AlternateContent xmlns:mc="http://schemas.openxmlformats.org/markup-compatibility/2006">
          <mc:Choice Requires="x14">
            <control shapeId="1987" r:id="rId966" name="Button 963">
              <controlPr defaultSize="0" autoFill="0" autoLine="0" autoPict="0" macro="[1]!Sheet1.deleteRow">
                <anchor moveWithCells="1" sizeWithCells="1">
                  <from>
                    <xdr:col>6</xdr:col>
                    <xdr:colOff>0</xdr:colOff>
                    <xdr:row>1782</xdr:row>
                    <xdr:rowOff>0</xdr:rowOff>
                  </from>
                  <to>
                    <xdr:col>7</xdr:col>
                    <xdr:colOff>0</xdr:colOff>
                    <xdr:row>1782</xdr:row>
                    <xdr:rowOff>133350</xdr:rowOff>
                  </to>
                </anchor>
              </controlPr>
            </control>
          </mc:Choice>
        </mc:AlternateContent>
        <mc:AlternateContent xmlns:mc="http://schemas.openxmlformats.org/markup-compatibility/2006">
          <mc:Choice Requires="x14">
            <control shapeId="1988" r:id="rId967" name="Button 964">
              <controlPr defaultSize="0" autoFill="0" autoLine="0" autoPict="0" macro="[1]!Sheet1.deleteRow">
                <anchor moveWithCells="1" sizeWithCells="1">
                  <from>
                    <xdr:col>6</xdr:col>
                    <xdr:colOff>0</xdr:colOff>
                    <xdr:row>1783</xdr:row>
                    <xdr:rowOff>0</xdr:rowOff>
                  </from>
                  <to>
                    <xdr:col>7</xdr:col>
                    <xdr:colOff>0</xdr:colOff>
                    <xdr:row>1783</xdr:row>
                    <xdr:rowOff>133350</xdr:rowOff>
                  </to>
                </anchor>
              </controlPr>
            </control>
          </mc:Choice>
        </mc:AlternateContent>
        <mc:AlternateContent xmlns:mc="http://schemas.openxmlformats.org/markup-compatibility/2006">
          <mc:Choice Requires="x14">
            <control shapeId="1989" r:id="rId968" name="Button 965">
              <controlPr defaultSize="0" autoFill="0" autoLine="0" autoPict="0" macro="[1]!Sheet1.deleteRow">
                <anchor moveWithCells="1" sizeWithCells="1">
                  <from>
                    <xdr:col>6</xdr:col>
                    <xdr:colOff>0</xdr:colOff>
                    <xdr:row>1784</xdr:row>
                    <xdr:rowOff>0</xdr:rowOff>
                  </from>
                  <to>
                    <xdr:col>7</xdr:col>
                    <xdr:colOff>0</xdr:colOff>
                    <xdr:row>1784</xdr:row>
                    <xdr:rowOff>133350</xdr:rowOff>
                  </to>
                </anchor>
              </controlPr>
            </control>
          </mc:Choice>
        </mc:AlternateContent>
        <mc:AlternateContent xmlns:mc="http://schemas.openxmlformats.org/markup-compatibility/2006">
          <mc:Choice Requires="x14">
            <control shapeId="1990" r:id="rId969" name="Button 966">
              <controlPr defaultSize="0" autoFill="0" autoLine="0" autoPict="0" macro="[1]!Sheet1.deleteProcedure">
                <anchor moveWithCells="1" sizeWithCells="1">
                  <from>
                    <xdr:col>6</xdr:col>
                    <xdr:colOff>0</xdr:colOff>
                    <xdr:row>1787</xdr:row>
                    <xdr:rowOff>0</xdr:rowOff>
                  </from>
                  <to>
                    <xdr:col>7</xdr:col>
                    <xdr:colOff>0</xdr:colOff>
                    <xdr:row>1788</xdr:row>
                    <xdr:rowOff>0</xdr:rowOff>
                  </to>
                </anchor>
              </controlPr>
            </control>
          </mc:Choice>
        </mc:AlternateContent>
        <mc:AlternateContent xmlns:mc="http://schemas.openxmlformats.org/markup-compatibility/2006">
          <mc:Choice Requires="x14">
            <control shapeId="1991" r:id="rId970" name="Button 967">
              <controlPr defaultSize="0" autoFill="0" autoLine="0" autoPict="0" macro="[1]!Sheet1.InsertNewTableRow">
                <anchor moveWithCells="1" sizeWithCells="1">
                  <from>
                    <xdr:col>6</xdr:col>
                    <xdr:colOff>0</xdr:colOff>
                    <xdr:row>1794</xdr:row>
                    <xdr:rowOff>0</xdr:rowOff>
                  </from>
                  <to>
                    <xdr:col>7</xdr:col>
                    <xdr:colOff>0</xdr:colOff>
                    <xdr:row>1795</xdr:row>
                    <xdr:rowOff>0</xdr:rowOff>
                  </to>
                </anchor>
              </controlPr>
            </control>
          </mc:Choice>
        </mc:AlternateContent>
        <mc:AlternateContent xmlns:mc="http://schemas.openxmlformats.org/markup-compatibility/2006">
          <mc:Choice Requires="x14">
            <control shapeId="1992" r:id="rId971" name="Button 968">
              <controlPr defaultSize="0" autoFill="0" autoLine="0" autoPict="0" macro="[1]!Sheet1.deleteRow">
                <anchor moveWithCells="1" sizeWithCells="1">
                  <from>
                    <xdr:col>6</xdr:col>
                    <xdr:colOff>0</xdr:colOff>
                    <xdr:row>1795</xdr:row>
                    <xdr:rowOff>0</xdr:rowOff>
                  </from>
                  <to>
                    <xdr:col>7</xdr:col>
                    <xdr:colOff>0</xdr:colOff>
                    <xdr:row>1795</xdr:row>
                    <xdr:rowOff>133350</xdr:rowOff>
                  </to>
                </anchor>
              </controlPr>
            </control>
          </mc:Choice>
        </mc:AlternateContent>
        <mc:AlternateContent xmlns:mc="http://schemas.openxmlformats.org/markup-compatibility/2006">
          <mc:Choice Requires="x14">
            <control shapeId="1993" r:id="rId972" name="Button 969">
              <controlPr defaultSize="0" autoFill="0" autoLine="0" autoPict="0" macro="[1]!Sheet1.deleteRow">
                <anchor moveWithCells="1" sizeWithCells="1">
                  <from>
                    <xdr:col>6</xdr:col>
                    <xdr:colOff>0</xdr:colOff>
                    <xdr:row>1796</xdr:row>
                    <xdr:rowOff>0</xdr:rowOff>
                  </from>
                  <to>
                    <xdr:col>7</xdr:col>
                    <xdr:colOff>0</xdr:colOff>
                    <xdr:row>1796</xdr:row>
                    <xdr:rowOff>133350</xdr:rowOff>
                  </to>
                </anchor>
              </controlPr>
            </control>
          </mc:Choice>
        </mc:AlternateContent>
        <mc:AlternateContent xmlns:mc="http://schemas.openxmlformats.org/markup-compatibility/2006">
          <mc:Choice Requires="x14">
            <control shapeId="1994" r:id="rId973" name="Button 970">
              <controlPr defaultSize="0" autoFill="0" autoLine="0" autoPict="0" macro="[1]!Sheet1.deleteRow">
                <anchor moveWithCells="1" sizeWithCells="1">
                  <from>
                    <xdr:col>6</xdr:col>
                    <xdr:colOff>0</xdr:colOff>
                    <xdr:row>1797</xdr:row>
                    <xdr:rowOff>0</xdr:rowOff>
                  </from>
                  <to>
                    <xdr:col>7</xdr:col>
                    <xdr:colOff>0</xdr:colOff>
                    <xdr:row>1797</xdr:row>
                    <xdr:rowOff>133350</xdr:rowOff>
                  </to>
                </anchor>
              </controlPr>
            </control>
          </mc:Choice>
        </mc:AlternateContent>
        <mc:AlternateContent xmlns:mc="http://schemas.openxmlformats.org/markup-compatibility/2006">
          <mc:Choice Requires="x14">
            <control shapeId="1995" r:id="rId974" name="Button 971">
              <controlPr defaultSize="0" autoFill="0" autoLine="0" autoPict="0" macro="[1]!Sheet1.deleteRow">
                <anchor moveWithCells="1" sizeWithCells="1">
                  <from>
                    <xdr:col>6</xdr:col>
                    <xdr:colOff>0</xdr:colOff>
                    <xdr:row>1798</xdr:row>
                    <xdr:rowOff>0</xdr:rowOff>
                  </from>
                  <to>
                    <xdr:col>7</xdr:col>
                    <xdr:colOff>0</xdr:colOff>
                    <xdr:row>1798</xdr:row>
                    <xdr:rowOff>133350</xdr:rowOff>
                  </to>
                </anchor>
              </controlPr>
            </control>
          </mc:Choice>
        </mc:AlternateContent>
        <mc:AlternateContent xmlns:mc="http://schemas.openxmlformats.org/markup-compatibility/2006">
          <mc:Choice Requires="x14">
            <control shapeId="1996" r:id="rId975" name="Button 972">
              <controlPr defaultSize="0" autoFill="0" autoLine="0" autoPict="0" macro="[1]!Sheet1.deleteRow">
                <anchor moveWithCells="1" sizeWithCells="1">
                  <from>
                    <xdr:col>6</xdr:col>
                    <xdr:colOff>0</xdr:colOff>
                    <xdr:row>1799</xdr:row>
                    <xdr:rowOff>0</xdr:rowOff>
                  </from>
                  <to>
                    <xdr:col>7</xdr:col>
                    <xdr:colOff>0</xdr:colOff>
                    <xdr:row>1799</xdr:row>
                    <xdr:rowOff>133350</xdr:rowOff>
                  </to>
                </anchor>
              </controlPr>
            </control>
          </mc:Choice>
        </mc:AlternateContent>
        <mc:AlternateContent xmlns:mc="http://schemas.openxmlformats.org/markup-compatibility/2006">
          <mc:Choice Requires="x14">
            <control shapeId="1997" r:id="rId976" name="Button 973">
              <controlPr defaultSize="0" autoFill="0" autoLine="0" autoPict="0" macro="[1]!Sheet1.deleteRow">
                <anchor moveWithCells="1" sizeWithCells="1">
                  <from>
                    <xdr:col>6</xdr:col>
                    <xdr:colOff>0</xdr:colOff>
                    <xdr:row>1800</xdr:row>
                    <xdr:rowOff>0</xdr:rowOff>
                  </from>
                  <to>
                    <xdr:col>7</xdr:col>
                    <xdr:colOff>0</xdr:colOff>
                    <xdr:row>1800</xdr:row>
                    <xdr:rowOff>133350</xdr:rowOff>
                  </to>
                </anchor>
              </controlPr>
            </control>
          </mc:Choice>
        </mc:AlternateContent>
        <mc:AlternateContent xmlns:mc="http://schemas.openxmlformats.org/markup-compatibility/2006">
          <mc:Choice Requires="x14">
            <control shapeId="1998" r:id="rId977" name="Button 974">
              <controlPr defaultSize="0" autoFill="0" autoLine="0" autoPict="0" macro="[1]!Sheet1.deleteRow">
                <anchor moveWithCells="1" sizeWithCells="1">
                  <from>
                    <xdr:col>6</xdr:col>
                    <xdr:colOff>0</xdr:colOff>
                    <xdr:row>1801</xdr:row>
                    <xdr:rowOff>0</xdr:rowOff>
                  </from>
                  <to>
                    <xdr:col>7</xdr:col>
                    <xdr:colOff>0</xdr:colOff>
                    <xdr:row>1801</xdr:row>
                    <xdr:rowOff>133350</xdr:rowOff>
                  </to>
                </anchor>
              </controlPr>
            </control>
          </mc:Choice>
        </mc:AlternateContent>
        <mc:AlternateContent xmlns:mc="http://schemas.openxmlformats.org/markup-compatibility/2006">
          <mc:Choice Requires="x14">
            <control shapeId="1999" r:id="rId978" name="Button 975">
              <controlPr defaultSize="0" autoFill="0" autoLine="0" autoPict="0" macro="[1]!Sheet1.deleteRow">
                <anchor moveWithCells="1" sizeWithCells="1">
                  <from>
                    <xdr:col>6</xdr:col>
                    <xdr:colOff>0</xdr:colOff>
                    <xdr:row>1802</xdr:row>
                    <xdr:rowOff>0</xdr:rowOff>
                  </from>
                  <to>
                    <xdr:col>7</xdr:col>
                    <xdr:colOff>0</xdr:colOff>
                    <xdr:row>1802</xdr:row>
                    <xdr:rowOff>133350</xdr:rowOff>
                  </to>
                </anchor>
              </controlPr>
            </control>
          </mc:Choice>
        </mc:AlternateContent>
        <mc:AlternateContent xmlns:mc="http://schemas.openxmlformats.org/markup-compatibility/2006">
          <mc:Choice Requires="x14">
            <control shapeId="2000" r:id="rId979" name="Button 976">
              <controlPr defaultSize="0" autoFill="0" autoLine="0" autoPict="0" macro="[1]!Sheet1.deleteRow">
                <anchor moveWithCells="1" sizeWithCells="1">
                  <from>
                    <xdr:col>6</xdr:col>
                    <xdr:colOff>0</xdr:colOff>
                    <xdr:row>1803</xdr:row>
                    <xdr:rowOff>0</xdr:rowOff>
                  </from>
                  <to>
                    <xdr:col>7</xdr:col>
                    <xdr:colOff>0</xdr:colOff>
                    <xdr:row>1803</xdr:row>
                    <xdr:rowOff>133350</xdr:rowOff>
                  </to>
                </anchor>
              </controlPr>
            </control>
          </mc:Choice>
        </mc:AlternateContent>
        <mc:AlternateContent xmlns:mc="http://schemas.openxmlformats.org/markup-compatibility/2006">
          <mc:Choice Requires="x14">
            <control shapeId="2001" r:id="rId980" name="Button 977">
              <controlPr defaultSize="0" autoFill="0" autoLine="0" autoPict="0" macro="[1]!Sheet1.deleteRow">
                <anchor moveWithCells="1" sizeWithCells="1">
                  <from>
                    <xdr:col>6</xdr:col>
                    <xdr:colOff>0</xdr:colOff>
                    <xdr:row>1804</xdr:row>
                    <xdr:rowOff>0</xdr:rowOff>
                  </from>
                  <to>
                    <xdr:col>7</xdr:col>
                    <xdr:colOff>0</xdr:colOff>
                    <xdr:row>1804</xdr:row>
                    <xdr:rowOff>133350</xdr:rowOff>
                  </to>
                </anchor>
              </controlPr>
            </control>
          </mc:Choice>
        </mc:AlternateContent>
        <mc:AlternateContent xmlns:mc="http://schemas.openxmlformats.org/markup-compatibility/2006">
          <mc:Choice Requires="x14">
            <control shapeId="2002" r:id="rId981" name="Button 978">
              <controlPr defaultSize="0" autoFill="0" autoLine="0" autoPict="0" macro="[1]!Sheet1.deleteRow">
                <anchor moveWithCells="1" sizeWithCells="1">
                  <from>
                    <xdr:col>6</xdr:col>
                    <xdr:colOff>0</xdr:colOff>
                    <xdr:row>1805</xdr:row>
                    <xdr:rowOff>0</xdr:rowOff>
                  </from>
                  <to>
                    <xdr:col>7</xdr:col>
                    <xdr:colOff>0</xdr:colOff>
                    <xdr:row>1805</xdr:row>
                    <xdr:rowOff>133350</xdr:rowOff>
                  </to>
                </anchor>
              </controlPr>
            </control>
          </mc:Choice>
        </mc:AlternateContent>
        <mc:AlternateContent xmlns:mc="http://schemas.openxmlformats.org/markup-compatibility/2006">
          <mc:Choice Requires="x14">
            <control shapeId="2003" r:id="rId982" name="Button 979">
              <controlPr defaultSize="0" autoFill="0" autoLine="0" autoPict="0" macro="[1]!Sheet1.deleteProcedure">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2004" r:id="rId983" name="Button 980">
              <controlPr defaultSize="0" autoFill="0" autoLine="0" autoPict="0" macro="[1]!Sheet1.InsertNewTableRow">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2005" r:id="rId984" name="Button 981">
              <controlPr defaultSize="0" autoFill="0" autoLine="0" autoPict="0" macro="[1]!Sheet1.deleteRow">
                <anchor moveWithCells="1" sizeWithCells="1">
                  <from>
                    <xdr:col>6</xdr:col>
                    <xdr:colOff>0</xdr:colOff>
                    <xdr:row>1816</xdr:row>
                    <xdr:rowOff>0</xdr:rowOff>
                  </from>
                  <to>
                    <xdr:col>7</xdr:col>
                    <xdr:colOff>0</xdr:colOff>
                    <xdr:row>1816</xdr:row>
                    <xdr:rowOff>133350</xdr:rowOff>
                  </to>
                </anchor>
              </controlPr>
            </control>
          </mc:Choice>
        </mc:AlternateContent>
        <mc:AlternateContent xmlns:mc="http://schemas.openxmlformats.org/markup-compatibility/2006">
          <mc:Choice Requires="x14">
            <control shapeId="2006" r:id="rId985" name="Button 982">
              <controlPr defaultSize="0" autoFill="0" autoLine="0" autoPict="0" macro="[1]!Sheet1.deleteRow">
                <anchor moveWithCells="1" sizeWithCells="1">
                  <from>
                    <xdr:col>6</xdr:col>
                    <xdr:colOff>0</xdr:colOff>
                    <xdr:row>1817</xdr:row>
                    <xdr:rowOff>0</xdr:rowOff>
                  </from>
                  <to>
                    <xdr:col>7</xdr:col>
                    <xdr:colOff>0</xdr:colOff>
                    <xdr:row>1817</xdr:row>
                    <xdr:rowOff>133350</xdr:rowOff>
                  </to>
                </anchor>
              </controlPr>
            </control>
          </mc:Choice>
        </mc:AlternateContent>
        <mc:AlternateContent xmlns:mc="http://schemas.openxmlformats.org/markup-compatibility/2006">
          <mc:Choice Requires="x14">
            <control shapeId="2007" r:id="rId986" name="Button 983">
              <controlPr defaultSize="0" autoFill="0" autoLine="0" autoPict="0" macro="[1]!Sheet1.deleteRow">
                <anchor moveWithCells="1" sizeWithCells="1">
                  <from>
                    <xdr:col>6</xdr:col>
                    <xdr:colOff>0</xdr:colOff>
                    <xdr:row>1818</xdr:row>
                    <xdr:rowOff>0</xdr:rowOff>
                  </from>
                  <to>
                    <xdr:col>7</xdr:col>
                    <xdr:colOff>0</xdr:colOff>
                    <xdr:row>1818</xdr:row>
                    <xdr:rowOff>133350</xdr:rowOff>
                  </to>
                </anchor>
              </controlPr>
            </control>
          </mc:Choice>
        </mc:AlternateContent>
        <mc:AlternateContent xmlns:mc="http://schemas.openxmlformats.org/markup-compatibility/2006">
          <mc:Choice Requires="x14">
            <control shapeId="2008" r:id="rId987" name="Button 984">
              <controlPr defaultSize="0" autoFill="0" autoLine="0" autoPict="0" macro="[1]!Sheet1.deleteRow">
                <anchor moveWithCells="1" sizeWithCells="1">
                  <from>
                    <xdr:col>6</xdr:col>
                    <xdr:colOff>0</xdr:colOff>
                    <xdr:row>1819</xdr:row>
                    <xdr:rowOff>0</xdr:rowOff>
                  </from>
                  <to>
                    <xdr:col>7</xdr:col>
                    <xdr:colOff>0</xdr:colOff>
                    <xdr:row>1819</xdr:row>
                    <xdr:rowOff>133350</xdr:rowOff>
                  </to>
                </anchor>
              </controlPr>
            </control>
          </mc:Choice>
        </mc:AlternateContent>
        <mc:AlternateContent xmlns:mc="http://schemas.openxmlformats.org/markup-compatibility/2006">
          <mc:Choice Requires="x14">
            <control shapeId="2009" r:id="rId988" name="Button 985">
              <controlPr defaultSize="0" autoFill="0" autoLine="0" autoPict="0" macro="[1]!Sheet1.deleteRow">
                <anchor moveWithCells="1" sizeWithCells="1">
                  <from>
                    <xdr:col>6</xdr:col>
                    <xdr:colOff>0</xdr:colOff>
                    <xdr:row>1820</xdr:row>
                    <xdr:rowOff>0</xdr:rowOff>
                  </from>
                  <to>
                    <xdr:col>7</xdr:col>
                    <xdr:colOff>0</xdr:colOff>
                    <xdr:row>1820</xdr:row>
                    <xdr:rowOff>133350</xdr:rowOff>
                  </to>
                </anchor>
              </controlPr>
            </control>
          </mc:Choice>
        </mc:AlternateContent>
        <mc:AlternateContent xmlns:mc="http://schemas.openxmlformats.org/markup-compatibility/2006">
          <mc:Choice Requires="x14">
            <control shapeId="2010" r:id="rId989" name="Button 986">
              <controlPr defaultSize="0" autoFill="0" autoLine="0" autoPict="0" macro="[1]!Sheet1.deleteRow">
                <anchor moveWithCells="1" sizeWithCells="1">
                  <from>
                    <xdr:col>6</xdr:col>
                    <xdr:colOff>0</xdr:colOff>
                    <xdr:row>1821</xdr:row>
                    <xdr:rowOff>0</xdr:rowOff>
                  </from>
                  <to>
                    <xdr:col>7</xdr:col>
                    <xdr:colOff>0</xdr:colOff>
                    <xdr:row>1821</xdr:row>
                    <xdr:rowOff>133350</xdr:rowOff>
                  </to>
                </anchor>
              </controlPr>
            </control>
          </mc:Choice>
        </mc:AlternateContent>
        <mc:AlternateContent xmlns:mc="http://schemas.openxmlformats.org/markup-compatibility/2006">
          <mc:Choice Requires="x14">
            <control shapeId="2011" r:id="rId990" name="Button 987">
              <controlPr defaultSize="0" autoFill="0" autoLine="0" autoPict="0" macro="[1]!Sheet1.deleteRow">
                <anchor moveWithCells="1" sizeWithCells="1">
                  <from>
                    <xdr:col>6</xdr:col>
                    <xdr:colOff>0</xdr:colOff>
                    <xdr:row>1822</xdr:row>
                    <xdr:rowOff>0</xdr:rowOff>
                  </from>
                  <to>
                    <xdr:col>7</xdr:col>
                    <xdr:colOff>0</xdr:colOff>
                    <xdr:row>1822</xdr:row>
                    <xdr:rowOff>133350</xdr:rowOff>
                  </to>
                </anchor>
              </controlPr>
            </control>
          </mc:Choice>
        </mc:AlternateContent>
        <mc:AlternateContent xmlns:mc="http://schemas.openxmlformats.org/markup-compatibility/2006">
          <mc:Choice Requires="x14">
            <control shapeId="2012" r:id="rId991" name="Button 988">
              <controlPr defaultSize="0" autoFill="0" autoLine="0" autoPict="0" macro="[1]!Sheet1.deleteRow">
                <anchor moveWithCells="1" sizeWithCells="1">
                  <from>
                    <xdr:col>6</xdr:col>
                    <xdr:colOff>0</xdr:colOff>
                    <xdr:row>1823</xdr:row>
                    <xdr:rowOff>0</xdr:rowOff>
                  </from>
                  <to>
                    <xdr:col>7</xdr:col>
                    <xdr:colOff>0</xdr:colOff>
                    <xdr:row>1823</xdr:row>
                    <xdr:rowOff>133350</xdr:rowOff>
                  </to>
                </anchor>
              </controlPr>
            </control>
          </mc:Choice>
        </mc:AlternateContent>
        <mc:AlternateContent xmlns:mc="http://schemas.openxmlformats.org/markup-compatibility/2006">
          <mc:Choice Requires="x14">
            <control shapeId="2013" r:id="rId992" name="Button 989">
              <controlPr defaultSize="0" autoFill="0" autoLine="0" autoPict="0" macro="[1]!Sheet1.deleteRow">
                <anchor moveWithCells="1" sizeWithCells="1">
                  <from>
                    <xdr:col>6</xdr:col>
                    <xdr:colOff>0</xdr:colOff>
                    <xdr:row>1824</xdr:row>
                    <xdr:rowOff>0</xdr:rowOff>
                  </from>
                  <to>
                    <xdr:col>7</xdr:col>
                    <xdr:colOff>0</xdr:colOff>
                    <xdr:row>1824</xdr:row>
                    <xdr:rowOff>133350</xdr:rowOff>
                  </to>
                </anchor>
              </controlPr>
            </control>
          </mc:Choice>
        </mc:AlternateContent>
        <mc:AlternateContent xmlns:mc="http://schemas.openxmlformats.org/markup-compatibility/2006">
          <mc:Choice Requires="x14">
            <control shapeId="2014" r:id="rId993" name="Button 990">
              <controlPr defaultSize="0" autoFill="0" autoLine="0" autoPict="0" macro="[1]!Sheet1.deleteRow">
                <anchor moveWithCells="1" sizeWithCells="1">
                  <from>
                    <xdr:col>6</xdr:col>
                    <xdr:colOff>0</xdr:colOff>
                    <xdr:row>1825</xdr:row>
                    <xdr:rowOff>0</xdr:rowOff>
                  </from>
                  <to>
                    <xdr:col>7</xdr:col>
                    <xdr:colOff>0</xdr:colOff>
                    <xdr:row>1825</xdr:row>
                    <xdr:rowOff>133350</xdr:rowOff>
                  </to>
                </anchor>
              </controlPr>
            </control>
          </mc:Choice>
        </mc:AlternateContent>
        <mc:AlternateContent xmlns:mc="http://schemas.openxmlformats.org/markup-compatibility/2006">
          <mc:Choice Requires="x14">
            <control shapeId="2015" r:id="rId994" name="Button 991">
              <controlPr defaultSize="0" autoFill="0" autoLine="0" autoPict="0" macro="[1]!Sheet1.deleteRow">
                <anchor moveWithCells="1" sizeWithCells="1">
                  <from>
                    <xdr:col>6</xdr:col>
                    <xdr:colOff>0</xdr:colOff>
                    <xdr:row>1826</xdr:row>
                    <xdr:rowOff>0</xdr:rowOff>
                  </from>
                  <to>
                    <xdr:col>7</xdr:col>
                    <xdr:colOff>0</xdr:colOff>
                    <xdr:row>1826</xdr:row>
                    <xdr:rowOff>133350</xdr:rowOff>
                  </to>
                </anchor>
              </controlPr>
            </control>
          </mc:Choice>
        </mc:AlternateContent>
        <mc:AlternateContent xmlns:mc="http://schemas.openxmlformats.org/markup-compatibility/2006">
          <mc:Choice Requires="x14">
            <control shapeId="2016" r:id="rId995" name="Button 992">
              <controlPr defaultSize="0" autoFill="0" autoLine="0" autoPict="0" macro="[1]!Sheet1.deleteProcedure">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2017" r:id="rId996" name="Button 993">
              <controlPr defaultSize="0" autoFill="0" autoLine="0" autoPict="0" macro="[1]!Sheet1.InsertNewTableRow">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2018" r:id="rId997" name="Button 994">
              <controlPr defaultSize="0" autoFill="0" autoLine="0" autoPict="0" macro="[1]!Sheet1.deleteRow">
                <anchor moveWithCells="1" sizeWithCells="1">
                  <from>
                    <xdr:col>6</xdr:col>
                    <xdr:colOff>0</xdr:colOff>
                    <xdr:row>1837</xdr:row>
                    <xdr:rowOff>0</xdr:rowOff>
                  </from>
                  <to>
                    <xdr:col>7</xdr:col>
                    <xdr:colOff>0</xdr:colOff>
                    <xdr:row>1837</xdr:row>
                    <xdr:rowOff>133350</xdr:rowOff>
                  </to>
                </anchor>
              </controlPr>
            </control>
          </mc:Choice>
        </mc:AlternateContent>
        <mc:AlternateContent xmlns:mc="http://schemas.openxmlformats.org/markup-compatibility/2006">
          <mc:Choice Requires="x14">
            <control shapeId="2019" r:id="rId998" name="Button 995">
              <controlPr defaultSize="0" autoFill="0" autoLine="0" autoPict="0" macro="[1]!Sheet1.deleteRow">
                <anchor moveWithCells="1" sizeWithCells="1">
                  <from>
                    <xdr:col>6</xdr:col>
                    <xdr:colOff>0</xdr:colOff>
                    <xdr:row>1838</xdr:row>
                    <xdr:rowOff>0</xdr:rowOff>
                  </from>
                  <to>
                    <xdr:col>7</xdr:col>
                    <xdr:colOff>0</xdr:colOff>
                    <xdr:row>1838</xdr:row>
                    <xdr:rowOff>133350</xdr:rowOff>
                  </to>
                </anchor>
              </controlPr>
            </control>
          </mc:Choice>
        </mc:AlternateContent>
        <mc:AlternateContent xmlns:mc="http://schemas.openxmlformats.org/markup-compatibility/2006">
          <mc:Choice Requires="x14">
            <control shapeId="2020" r:id="rId999" name="Button 996">
              <controlPr defaultSize="0" autoFill="0" autoLine="0" autoPict="0" macro="[1]!Sheet1.deleteProcedure">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2021" r:id="rId1000" name="Button 997">
              <controlPr defaultSize="0" autoFill="0" autoLine="0" autoPict="0" macro="[1]!Sheet1.InsertNewTableRow">
                <anchor moveWithCells="1" sizeWithCells="1">
                  <from>
                    <xdr:col>6</xdr:col>
                    <xdr:colOff>0</xdr:colOff>
                    <xdr:row>1848</xdr:row>
                    <xdr:rowOff>0</xdr:rowOff>
                  </from>
                  <to>
                    <xdr:col>7</xdr:col>
                    <xdr:colOff>0</xdr:colOff>
                    <xdr:row>1849</xdr:row>
                    <xdr:rowOff>0</xdr:rowOff>
                  </to>
                </anchor>
              </controlPr>
            </control>
          </mc:Choice>
        </mc:AlternateContent>
        <mc:AlternateContent xmlns:mc="http://schemas.openxmlformats.org/markup-compatibility/2006">
          <mc:Choice Requires="x14">
            <control shapeId="2022" r:id="rId1001" name="Button 998">
              <controlPr defaultSize="0" autoFill="0" autoLine="0" autoPict="0" macro="[1]!Sheet1.deleteRow">
                <anchor moveWithCells="1" sizeWithCells="1">
                  <from>
                    <xdr:col>6</xdr:col>
                    <xdr:colOff>0</xdr:colOff>
                    <xdr:row>1849</xdr:row>
                    <xdr:rowOff>0</xdr:rowOff>
                  </from>
                  <to>
                    <xdr:col>7</xdr:col>
                    <xdr:colOff>0</xdr:colOff>
                    <xdr:row>1849</xdr:row>
                    <xdr:rowOff>133350</xdr:rowOff>
                  </to>
                </anchor>
              </controlPr>
            </control>
          </mc:Choice>
        </mc:AlternateContent>
        <mc:AlternateContent xmlns:mc="http://schemas.openxmlformats.org/markup-compatibility/2006">
          <mc:Choice Requires="x14">
            <control shapeId="2023" r:id="rId1002" name="Button 999">
              <controlPr defaultSize="0" autoFill="0" autoLine="0" autoPict="0" macro="[1]!Sheet1.deleteProcedure">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2024" r:id="rId1003" name="Button 1000">
              <controlPr defaultSize="0" autoFill="0" autoLine="0" autoPict="0" macro="[1]!Sheet1.InsertNewTableRow">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2025" r:id="rId1004" name="Button 1001">
              <controlPr defaultSize="0" autoFill="0" autoLine="0" autoPict="0" macro="[1]!Sheet1.deleteRow">
                <anchor moveWithCells="1" sizeWithCells="1">
                  <from>
                    <xdr:col>6</xdr:col>
                    <xdr:colOff>0</xdr:colOff>
                    <xdr:row>1860</xdr:row>
                    <xdr:rowOff>0</xdr:rowOff>
                  </from>
                  <to>
                    <xdr:col>7</xdr:col>
                    <xdr:colOff>0</xdr:colOff>
                    <xdr:row>1860</xdr:row>
                    <xdr:rowOff>133350</xdr:rowOff>
                  </to>
                </anchor>
              </controlPr>
            </control>
          </mc:Choice>
        </mc:AlternateContent>
        <mc:AlternateContent xmlns:mc="http://schemas.openxmlformats.org/markup-compatibility/2006">
          <mc:Choice Requires="x14">
            <control shapeId="2026" r:id="rId1005" name="Button 1002">
              <controlPr defaultSize="0" autoFill="0" autoLine="0" autoPict="0" macro="[1]!Sheet1.deleteProcedure">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2027" r:id="rId1006" name="Button 1003">
              <controlPr defaultSize="0" autoFill="0" autoLine="0" autoPict="0" macro="[1]!Sheet1.InsertNewTableRow">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2028" r:id="rId1007" name="Button 1004">
              <controlPr defaultSize="0" autoFill="0" autoLine="0" autoPict="0" macro="[1]!Sheet1.deleteRow">
                <anchor moveWithCells="1" sizeWithCells="1">
                  <from>
                    <xdr:col>6</xdr:col>
                    <xdr:colOff>0</xdr:colOff>
                    <xdr:row>1871</xdr:row>
                    <xdr:rowOff>0</xdr:rowOff>
                  </from>
                  <to>
                    <xdr:col>7</xdr:col>
                    <xdr:colOff>0</xdr:colOff>
                    <xdr:row>1871</xdr:row>
                    <xdr:rowOff>133350</xdr:rowOff>
                  </to>
                </anchor>
              </controlPr>
            </control>
          </mc:Choice>
        </mc:AlternateContent>
        <mc:AlternateContent xmlns:mc="http://schemas.openxmlformats.org/markup-compatibility/2006">
          <mc:Choice Requires="x14">
            <control shapeId="2029" r:id="rId1008" name="Button 1005">
              <controlPr defaultSize="0" autoFill="0" autoLine="0" autoPict="0" macro="[1]!Sheet1.deleteProcedure">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2030" r:id="rId1009" name="Button 1006">
              <controlPr defaultSize="0" autoFill="0" autoLine="0" autoPict="0" macro="[1]!Sheet1.InsertNewTableRow">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2031" r:id="rId1010" name="Button 1007">
              <controlPr defaultSize="0" autoFill="0" autoLine="0" autoPict="0" macro="[1]!Sheet1.deleteRow">
                <anchor moveWithCells="1" sizeWithCells="1">
                  <from>
                    <xdr:col>6</xdr:col>
                    <xdr:colOff>0</xdr:colOff>
                    <xdr:row>1882</xdr:row>
                    <xdr:rowOff>0</xdr:rowOff>
                  </from>
                  <to>
                    <xdr:col>7</xdr:col>
                    <xdr:colOff>0</xdr:colOff>
                    <xdr:row>1882</xdr:row>
                    <xdr:rowOff>133350</xdr:rowOff>
                  </to>
                </anchor>
              </controlPr>
            </control>
          </mc:Choice>
        </mc:AlternateContent>
        <mc:AlternateContent xmlns:mc="http://schemas.openxmlformats.org/markup-compatibility/2006">
          <mc:Choice Requires="x14">
            <control shapeId="2032" r:id="rId1011" name="Button 1008">
              <controlPr defaultSize="0" autoFill="0" autoLine="0" autoPict="0" macro="[1]!Sheet1.deleteProcedure">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2033" r:id="rId1012" name="Button 1009">
              <controlPr defaultSize="0" autoFill="0" autoLine="0" autoPict="0" macro="[1]!Sheet1.InsertNewTableRow">
                <anchor moveWithCells="1" sizeWithCells="1">
                  <from>
                    <xdr:col>6</xdr:col>
                    <xdr:colOff>0</xdr:colOff>
                    <xdr:row>1892</xdr:row>
                    <xdr:rowOff>0</xdr:rowOff>
                  </from>
                  <to>
                    <xdr:col>7</xdr:col>
                    <xdr:colOff>0</xdr:colOff>
                    <xdr:row>1893</xdr:row>
                    <xdr:rowOff>0</xdr:rowOff>
                  </to>
                </anchor>
              </controlPr>
            </control>
          </mc:Choice>
        </mc:AlternateContent>
        <mc:AlternateContent xmlns:mc="http://schemas.openxmlformats.org/markup-compatibility/2006">
          <mc:Choice Requires="x14">
            <control shapeId="2034" r:id="rId1013" name="Button 1010">
              <controlPr defaultSize="0" autoFill="0" autoLine="0" autoPict="0" macro="[1]!Sheet1.deleteRow">
                <anchor moveWithCells="1" sizeWithCells="1">
                  <from>
                    <xdr:col>6</xdr:col>
                    <xdr:colOff>0</xdr:colOff>
                    <xdr:row>1893</xdr:row>
                    <xdr:rowOff>0</xdr:rowOff>
                  </from>
                  <to>
                    <xdr:col>7</xdr:col>
                    <xdr:colOff>0</xdr:colOff>
                    <xdr:row>1893</xdr:row>
                    <xdr:rowOff>133350</xdr:rowOff>
                  </to>
                </anchor>
              </controlPr>
            </control>
          </mc:Choice>
        </mc:AlternateContent>
        <mc:AlternateContent xmlns:mc="http://schemas.openxmlformats.org/markup-compatibility/2006">
          <mc:Choice Requires="x14">
            <control shapeId="2035" r:id="rId1014" name="Button 1011">
              <controlPr defaultSize="0" autoFill="0" autoLine="0" autoPict="0" macro="[1]!Sheet1.deleteProcedure">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2036" r:id="rId1015" name="Button 1012">
              <controlPr defaultSize="0" autoFill="0" autoLine="0" autoPict="0" macro="[1]!Sheet1.InsertNewTableRow">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2037" r:id="rId1016" name="Button 1013">
              <controlPr defaultSize="0" autoFill="0" autoLine="0" autoPict="0" macro="[1]!Sheet1.deleteRow">
                <anchor moveWithCells="1" sizeWithCells="1">
                  <from>
                    <xdr:col>6</xdr:col>
                    <xdr:colOff>0</xdr:colOff>
                    <xdr:row>1904</xdr:row>
                    <xdr:rowOff>0</xdr:rowOff>
                  </from>
                  <to>
                    <xdr:col>7</xdr:col>
                    <xdr:colOff>0</xdr:colOff>
                    <xdr:row>1904</xdr:row>
                    <xdr:rowOff>133350</xdr:rowOff>
                  </to>
                </anchor>
              </controlPr>
            </control>
          </mc:Choice>
        </mc:AlternateContent>
        <mc:AlternateContent xmlns:mc="http://schemas.openxmlformats.org/markup-compatibility/2006">
          <mc:Choice Requires="x14">
            <control shapeId="2038" r:id="rId1017" name="Button 1014">
              <controlPr defaultSize="0" autoFill="0" autoLine="0" autoPict="0" macro="[1]!Sheet1.deleteProcedure">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2039" r:id="rId1018" name="Button 1015">
              <controlPr defaultSize="0" autoFill="0" autoLine="0" autoPict="0" macro="[1]!Sheet1.InsertNewTableRow">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2040" r:id="rId1019" name="Button 1016">
              <controlPr defaultSize="0" autoFill="0" autoLine="0" autoPict="0" macro="[1]!Sheet1.deleteRow">
                <anchor moveWithCells="1" sizeWithCells="1">
                  <from>
                    <xdr:col>6</xdr:col>
                    <xdr:colOff>0</xdr:colOff>
                    <xdr:row>1915</xdr:row>
                    <xdr:rowOff>0</xdr:rowOff>
                  </from>
                  <to>
                    <xdr:col>7</xdr:col>
                    <xdr:colOff>0</xdr:colOff>
                    <xdr:row>1915</xdr:row>
                    <xdr:rowOff>133350</xdr:rowOff>
                  </to>
                </anchor>
              </controlPr>
            </control>
          </mc:Choice>
        </mc:AlternateContent>
        <mc:AlternateContent xmlns:mc="http://schemas.openxmlformats.org/markup-compatibility/2006">
          <mc:Choice Requires="x14">
            <control shapeId="2041" r:id="rId1020" name="Button 1017">
              <controlPr defaultSize="0" autoFill="0" autoLine="0" autoPict="0" macro="[1]!Sheet1.CopyNewProcedure">
                <anchor moveWithCells="1" sizeWithCells="1">
                  <from>
                    <xdr:col>0</xdr:col>
                    <xdr:colOff>0</xdr:colOff>
                    <xdr:row>1920</xdr:row>
                    <xdr:rowOff>0</xdr:rowOff>
                  </from>
                  <to>
                    <xdr:col>1</xdr:col>
                    <xdr:colOff>361950</xdr:colOff>
                    <xdr:row>1921</xdr:row>
                    <xdr:rowOff>133350</xdr:rowOff>
                  </to>
                </anchor>
              </controlPr>
            </control>
          </mc:Choice>
        </mc:AlternateContent>
      </controls>
    </mc:Choice>
  </mc:AlternateContent>
  <tableParts count="111">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PACC 2022</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Noelia Bencosme</dc:creator>
  <cp:lastModifiedBy>Miguel Urbaez</cp:lastModifiedBy>
  <cp:lastPrinted>2022-07-14T15:24:55Z</cp:lastPrinted>
  <dcterms:created xsi:type="dcterms:W3CDTF">2022-07-13T21:06:39Z</dcterms:created>
  <dcterms:modified xsi:type="dcterms:W3CDTF">2022-07-14T15:25:54Z</dcterms:modified>
</cp:coreProperties>
</file>