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5\2025 - Transparencia\11. Transparencia Noviembre  2025\Entregables\"/>
    </mc:Choice>
  </mc:AlternateContent>
  <xr:revisionPtr revIDLastSave="0" documentId="8_{601A4D03-8919-4192-881C-79D27663060A}" xr6:coauthVersionLast="47" xr6:coauthVersionMax="47" xr10:uidLastSave="{00000000-0000-0000-0000-000000000000}"/>
  <bookViews>
    <workbookView xWindow="-120" yWindow="-120" windowWidth="29040" windowHeight="15720" xr2:uid="{BD9BDB26-1DFF-4BB4-8CA5-AC9532C2AC43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L84" i="1"/>
  <c r="K84" i="1"/>
  <c r="J84" i="1"/>
  <c r="J83" i="1" s="1"/>
  <c r="J76" i="1" s="1"/>
  <c r="I84" i="1"/>
  <c r="H84" i="1"/>
  <c r="G84" i="1"/>
  <c r="F84" i="1"/>
  <c r="R84" i="1" s="1"/>
  <c r="R83" i="1" s="1"/>
  <c r="E84" i="1"/>
  <c r="E83" i="1" s="1"/>
  <c r="D84" i="1"/>
  <c r="D83" i="1" s="1"/>
  <c r="Q83" i="1"/>
  <c r="P83" i="1"/>
  <c r="O83" i="1"/>
  <c r="N83" i="1"/>
  <c r="M83" i="1"/>
  <c r="L83" i="1"/>
  <c r="K83" i="1"/>
  <c r="I83" i="1"/>
  <c r="H83" i="1"/>
  <c r="G83" i="1"/>
  <c r="F83" i="1"/>
  <c r="Q82" i="1"/>
  <c r="P82" i="1"/>
  <c r="O82" i="1"/>
  <c r="N82" i="1"/>
  <c r="M82" i="1"/>
  <c r="L82" i="1"/>
  <c r="K82" i="1"/>
  <c r="J82" i="1"/>
  <c r="I82" i="1"/>
  <c r="H82" i="1"/>
  <c r="G82" i="1"/>
  <c r="F82" i="1"/>
  <c r="R82" i="1" s="1"/>
  <c r="E82" i="1"/>
  <c r="D82" i="1"/>
  <c r="Q81" i="1"/>
  <c r="P81" i="1"/>
  <c r="P80" i="1" s="1"/>
  <c r="O81" i="1"/>
  <c r="N81" i="1"/>
  <c r="N80" i="1" s="1"/>
  <c r="M81" i="1"/>
  <c r="M80" i="1" s="1"/>
  <c r="L81" i="1"/>
  <c r="K81" i="1"/>
  <c r="J81" i="1"/>
  <c r="I81" i="1"/>
  <c r="H81" i="1"/>
  <c r="G81" i="1"/>
  <c r="F81" i="1"/>
  <c r="R81" i="1" s="1"/>
  <c r="R80" i="1" s="1"/>
  <c r="E81" i="1"/>
  <c r="D81" i="1"/>
  <c r="D80" i="1" s="1"/>
  <c r="Q80" i="1"/>
  <c r="O80" i="1"/>
  <c r="L80" i="1"/>
  <c r="K80" i="1"/>
  <c r="J80" i="1"/>
  <c r="I80" i="1"/>
  <c r="H80" i="1"/>
  <c r="G80" i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D77" i="1" s="1"/>
  <c r="Q77" i="1"/>
  <c r="Q76" i="1" s="1"/>
  <c r="P77" i="1"/>
  <c r="P76" i="1" s="1"/>
  <c r="O77" i="1"/>
  <c r="N77" i="1"/>
  <c r="M77" i="1"/>
  <c r="L77" i="1"/>
  <c r="L76" i="1" s="1"/>
  <c r="K77" i="1"/>
  <c r="J77" i="1"/>
  <c r="I77" i="1"/>
  <c r="H77" i="1"/>
  <c r="G77" i="1"/>
  <c r="F77" i="1"/>
  <c r="R77" i="1" s="1"/>
  <c r="E77" i="1"/>
  <c r="E76" i="1" s="1"/>
  <c r="O76" i="1"/>
  <c r="K76" i="1"/>
  <c r="I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O69" i="1" s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F71" i="1"/>
  <c r="F69" i="1" s="1"/>
  <c r="E71" i="1"/>
  <c r="D71" i="1"/>
  <c r="Q70" i="1"/>
  <c r="P70" i="1"/>
  <c r="P69" i="1" s="1"/>
  <c r="O70" i="1"/>
  <c r="N70" i="1"/>
  <c r="N69" i="1" s="1"/>
  <c r="M70" i="1"/>
  <c r="M69" i="1" s="1"/>
  <c r="L70" i="1"/>
  <c r="K70" i="1"/>
  <c r="K69" i="1" s="1"/>
  <c r="J70" i="1"/>
  <c r="J69" i="1" s="1"/>
  <c r="I70" i="1"/>
  <c r="I69" i="1" s="1"/>
  <c r="H70" i="1"/>
  <c r="G70" i="1"/>
  <c r="F70" i="1"/>
  <c r="R70" i="1" s="1"/>
  <c r="E70" i="1"/>
  <c r="D70" i="1"/>
  <c r="D69" i="1" s="1"/>
  <c r="Q69" i="1"/>
  <c r="L69" i="1"/>
  <c r="H69" i="1"/>
  <c r="G69" i="1"/>
  <c r="E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F64" i="1" s="1"/>
  <c r="E67" i="1"/>
  <c r="D67" i="1"/>
  <c r="Q66" i="1"/>
  <c r="P66" i="1"/>
  <c r="O66" i="1"/>
  <c r="N66" i="1"/>
  <c r="M66" i="1"/>
  <c r="L66" i="1"/>
  <c r="K66" i="1"/>
  <c r="J66" i="1"/>
  <c r="I66" i="1"/>
  <c r="I64" i="1" s="1"/>
  <c r="H66" i="1"/>
  <c r="G66" i="1"/>
  <c r="F66" i="1"/>
  <c r="R66" i="1" s="1"/>
  <c r="E66" i="1"/>
  <c r="D66" i="1"/>
  <c r="Q65" i="1"/>
  <c r="Q64" i="1" s="1"/>
  <c r="P65" i="1"/>
  <c r="P64" i="1" s="1"/>
  <c r="O65" i="1"/>
  <c r="N65" i="1"/>
  <c r="N64" i="1" s="1"/>
  <c r="M65" i="1"/>
  <c r="M64" i="1" s="1"/>
  <c r="L65" i="1"/>
  <c r="L64" i="1" s="1"/>
  <c r="K65" i="1"/>
  <c r="J65" i="1"/>
  <c r="I65" i="1"/>
  <c r="H65" i="1"/>
  <c r="G65" i="1"/>
  <c r="G64" i="1" s="1"/>
  <c r="F65" i="1"/>
  <c r="R65" i="1" s="1"/>
  <c r="E65" i="1"/>
  <c r="E64" i="1" s="1"/>
  <c r="D65" i="1"/>
  <c r="D64" i="1" s="1"/>
  <c r="O64" i="1"/>
  <c r="K64" i="1"/>
  <c r="J64" i="1"/>
  <c r="H64" i="1"/>
  <c r="Q63" i="1"/>
  <c r="P63" i="1"/>
  <c r="O63" i="1"/>
  <c r="N63" i="1"/>
  <c r="M63" i="1"/>
  <c r="L63" i="1"/>
  <c r="K63" i="1"/>
  <c r="J63" i="1"/>
  <c r="R63" i="1" s="1"/>
  <c r="H63" i="1"/>
  <c r="G63" i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E58" i="1"/>
  <c r="D58" i="1"/>
  <c r="Q57" i="1"/>
  <c r="P57" i="1"/>
  <c r="O57" i="1"/>
  <c r="N57" i="1"/>
  <c r="M57" i="1"/>
  <c r="L57" i="1"/>
  <c r="K57" i="1"/>
  <c r="J57" i="1"/>
  <c r="J54" i="1" s="1"/>
  <c r="I57" i="1"/>
  <c r="H57" i="1"/>
  <c r="G57" i="1"/>
  <c r="F57" i="1"/>
  <c r="R57" i="1" s="1"/>
  <c r="E57" i="1"/>
  <c r="D57" i="1"/>
  <c r="Q56" i="1"/>
  <c r="Q54" i="1" s="1"/>
  <c r="P56" i="1"/>
  <c r="O56" i="1"/>
  <c r="N56" i="1"/>
  <c r="M56" i="1"/>
  <c r="M54" i="1" s="1"/>
  <c r="L56" i="1"/>
  <c r="K56" i="1"/>
  <c r="J56" i="1"/>
  <c r="I56" i="1"/>
  <c r="H56" i="1"/>
  <c r="G56" i="1"/>
  <c r="F56" i="1"/>
  <c r="R56" i="1" s="1"/>
  <c r="E56" i="1"/>
  <c r="D56" i="1"/>
  <c r="Q55" i="1"/>
  <c r="P55" i="1"/>
  <c r="P54" i="1" s="1"/>
  <c r="O55" i="1"/>
  <c r="N55" i="1"/>
  <c r="M55" i="1"/>
  <c r="L55" i="1"/>
  <c r="K55" i="1"/>
  <c r="K54" i="1" s="1"/>
  <c r="J55" i="1"/>
  <c r="I55" i="1"/>
  <c r="I54" i="1" s="1"/>
  <c r="H55" i="1"/>
  <c r="H54" i="1" s="1"/>
  <c r="G55" i="1"/>
  <c r="F55" i="1"/>
  <c r="R55" i="1" s="1"/>
  <c r="E55" i="1"/>
  <c r="E54" i="1" s="1"/>
  <c r="D55" i="1"/>
  <c r="D54" i="1" s="1"/>
  <c r="O54" i="1"/>
  <c r="N54" i="1"/>
  <c r="L54" i="1"/>
  <c r="G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E49" i="1"/>
  <c r="D49" i="1"/>
  <c r="Q48" i="1"/>
  <c r="Q47" i="1" s="1"/>
  <c r="P48" i="1"/>
  <c r="O48" i="1"/>
  <c r="O47" i="1" s="1"/>
  <c r="N48" i="1"/>
  <c r="N47" i="1" s="1"/>
  <c r="M48" i="1"/>
  <c r="M47" i="1" s="1"/>
  <c r="L48" i="1"/>
  <c r="K48" i="1"/>
  <c r="J48" i="1"/>
  <c r="I48" i="1"/>
  <c r="H48" i="1"/>
  <c r="H47" i="1" s="1"/>
  <c r="G48" i="1"/>
  <c r="G47" i="1" s="1"/>
  <c r="F48" i="1"/>
  <c r="R48" i="1" s="1"/>
  <c r="E48" i="1"/>
  <c r="E47" i="1" s="1"/>
  <c r="D48" i="1"/>
  <c r="P47" i="1"/>
  <c r="L47" i="1"/>
  <c r="K47" i="1"/>
  <c r="J47" i="1"/>
  <c r="I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N42" i="1"/>
  <c r="N38" i="1" s="1"/>
  <c r="M42" i="1"/>
  <c r="L42" i="1"/>
  <c r="K42" i="1"/>
  <c r="J42" i="1"/>
  <c r="I42" i="1"/>
  <c r="H42" i="1"/>
  <c r="G42" i="1"/>
  <c r="F42" i="1"/>
  <c r="R42" i="1" s="1"/>
  <c r="E42" i="1"/>
  <c r="D42" i="1"/>
  <c r="Q41" i="1"/>
  <c r="P41" i="1"/>
  <c r="O41" i="1"/>
  <c r="O38" i="1" s="1"/>
  <c r="N41" i="1"/>
  <c r="M41" i="1"/>
  <c r="L41" i="1"/>
  <c r="K41" i="1"/>
  <c r="J41" i="1"/>
  <c r="I41" i="1"/>
  <c r="H41" i="1"/>
  <c r="G41" i="1"/>
  <c r="F41" i="1"/>
  <c r="R41" i="1" s="1"/>
  <c r="E41" i="1"/>
  <c r="D41" i="1"/>
  <c r="Q40" i="1"/>
  <c r="Q38" i="1" s="1"/>
  <c r="P40" i="1"/>
  <c r="O40" i="1"/>
  <c r="N40" i="1"/>
  <c r="M40" i="1"/>
  <c r="M38" i="1" s="1"/>
  <c r="L40" i="1"/>
  <c r="K40" i="1"/>
  <c r="J40" i="1"/>
  <c r="I40" i="1"/>
  <c r="H40" i="1"/>
  <c r="G40" i="1"/>
  <c r="F40" i="1"/>
  <c r="R40" i="1" s="1"/>
  <c r="E40" i="1"/>
  <c r="D40" i="1"/>
  <c r="Q39" i="1"/>
  <c r="P39" i="1"/>
  <c r="P38" i="1" s="1"/>
  <c r="O39" i="1"/>
  <c r="N39" i="1"/>
  <c r="M39" i="1"/>
  <c r="L39" i="1"/>
  <c r="K39" i="1"/>
  <c r="K38" i="1" s="1"/>
  <c r="J39" i="1"/>
  <c r="J38" i="1" s="1"/>
  <c r="I39" i="1"/>
  <c r="I38" i="1" s="1"/>
  <c r="H39" i="1"/>
  <c r="H38" i="1" s="1"/>
  <c r="G39" i="1"/>
  <c r="F39" i="1"/>
  <c r="R39" i="1" s="1"/>
  <c r="R38" i="1" s="1"/>
  <c r="E39" i="1"/>
  <c r="E38" i="1" s="1"/>
  <c r="D39" i="1"/>
  <c r="D38" i="1" s="1"/>
  <c r="L38" i="1"/>
  <c r="G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L32" i="1"/>
  <c r="K32" i="1"/>
  <c r="J32" i="1"/>
  <c r="I32" i="1"/>
  <c r="H32" i="1"/>
  <c r="H28" i="1" s="1"/>
  <c r="G32" i="1"/>
  <c r="F32" i="1"/>
  <c r="R32" i="1" s="1"/>
  <c r="E32" i="1"/>
  <c r="D32" i="1"/>
  <c r="Q31" i="1"/>
  <c r="P31" i="1"/>
  <c r="O31" i="1"/>
  <c r="N31" i="1"/>
  <c r="M31" i="1"/>
  <c r="L31" i="1"/>
  <c r="K31" i="1"/>
  <c r="J31" i="1"/>
  <c r="I31" i="1"/>
  <c r="I28" i="1" s="1"/>
  <c r="H31" i="1"/>
  <c r="G31" i="1"/>
  <c r="F31" i="1"/>
  <c r="R31" i="1" s="1"/>
  <c r="E31" i="1"/>
  <c r="D31" i="1"/>
  <c r="Q30" i="1"/>
  <c r="P30" i="1"/>
  <c r="O30" i="1"/>
  <c r="N30" i="1"/>
  <c r="M30" i="1"/>
  <c r="L30" i="1"/>
  <c r="K30" i="1"/>
  <c r="J30" i="1"/>
  <c r="I30" i="1"/>
  <c r="H30" i="1"/>
  <c r="G30" i="1"/>
  <c r="G28" i="1" s="1"/>
  <c r="F30" i="1"/>
  <c r="R30" i="1" s="1"/>
  <c r="E30" i="1"/>
  <c r="D30" i="1"/>
  <c r="Q29" i="1"/>
  <c r="Q28" i="1" s="1"/>
  <c r="P29" i="1"/>
  <c r="P28" i="1" s="1"/>
  <c r="O29" i="1"/>
  <c r="O28" i="1" s="1"/>
  <c r="N29" i="1"/>
  <c r="N28" i="1" s="1"/>
  <c r="M29" i="1"/>
  <c r="L29" i="1"/>
  <c r="L28" i="1" s="1"/>
  <c r="K29" i="1"/>
  <c r="K28" i="1" s="1"/>
  <c r="J29" i="1"/>
  <c r="J28" i="1" s="1"/>
  <c r="I29" i="1"/>
  <c r="H29" i="1"/>
  <c r="G29" i="1"/>
  <c r="F29" i="1"/>
  <c r="R29" i="1" s="1"/>
  <c r="E29" i="1"/>
  <c r="E28" i="1" s="1"/>
  <c r="D29" i="1"/>
  <c r="D28" i="1" s="1"/>
  <c r="M28" i="1"/>
  <c r="F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N22" i="1"/>
  <c r="N18" i="1" s="1"/>
  <c r="M22" i="1"/>
  <c r="L22" i="1"/>
  <c r="K22" i="1"/>
  <c r="J22" i="1"/>
  <c r="I22" i="1"/>
  <c r="H22" i="1"/>
  <c r="G22" i="1"/>
  <c r="F22" i="1"/>
  <c r="R22" i="1" s="1"/>
  <c r="E22" i="1"/>
  <c r="D22" i="1"/>
  <c r="Q21" i="1"/>
  <c r="P21" i="1"/>
  <c r="O21" i="1"/>
  <c r="O18" i="1" s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M18" i="1" s="1"/>
  <c r="L20" i="1"/>
  <c r="K20" i="1"/>
  <c r="J20" i="1"/>
  <c r="I20" i="1"/>
  <c r="H20" i="1"/>
  <c r="G20" i="1"/>
  <c r="F20" i="1"/>
  <c r="R20" i="1" s="1"/>
  <c r="E20" i="1"/>
  <c r="D20" i="1"/>
  <c r="Q19" i="1"/>
  <c r="Q18" i="1" s="1"/>
  <c r="P19" i="1"/>
  <c r="P18" i="1" s="1"/>
  <c r="O19" i="1"/>
  <c r="N19" i="1"/>
  <c r="M19" i="1"/>
  <c r="L19" i="1"/>
  <c r="K19" i="1"/>
  <c r="K18" i="1" s="1"/>
  <c r="J19" i="1"/>
  <c r="J18" i="1" s="1"/>
  <c r="I19" i="1"/>
  <c r="I18" i="1" s="1"/>
  <c r="H19" i="1"/>
  <c r="H18" i="1" s="1"/>
  <c r="G19" i="1"/>
  <c r="F19" i="1"/>
  <c r="R19" i="1" s="1"/>
  <c r="E19" i="1"/>
  <c r="E18" i="1" s="1"/>
  <c r="D19" i="1"/>
  <c r="D18" i="1" s="1"/>
  <c r="L18" i="1"/>
  <c r="G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P16" i="1"/>
  <c r="O16" i="1"/>
  <c r="N16" i="1"/>
  <c r="M16" i="1"/>
  <c r="L16" i="1"/>
  <c r="K16" i="1"/>
  <c r="J16" i="1"/>
  <c r="I16" i="1"/>
  <c r="H16" i="1"/>
  <c r="H12" i="1" s="1"/>
  <c r="G16" i="1"/>
  <c r="F16" i="1"/>
  <c r="R16" i="1" s="1"/>
  <c r="E16" i="1"/>
  <c r="D16" i="1"/>
  <c r="Q15" i="1"/>
  <c r="P15" i="1"/>
  <c r="O15" i="1"/>
  <c r="N15" i="1"/>
  <c r="M15" i="1"/>
  <c r="L15" i="1"/>
  <c r="K15" i="1"/>
  <c r="J15" i="1"/>
  <c r="I15" i="1"/>
  <c r="I12" i="1" s="1"/>
  <c r="H15" i="1"/>
  <c r="G15" i="1"/>
  <c r="F15" i="1"/>
  <c r="R15" i="1" s="1"/>
  <c r="E15" i="1"/>
  <c r="D15" i="1"/>
  <c r="Q14" i="1"/>
  <c r="P14" i="1"/>
  <c r="O14" i="1"/>
  <c r="N14" i="1"/>
  <c r="M14" i="1"/>
  <c r="M12" i="1" s="1"/>
  <c r="L14" i="1"/>
  <c r="K14" i="1"/>
  <c r="J14" i="1"/>
  <c r="I14" i="1"/>
  <c r="H14" i="1"/>
  <c r="G14" i="1"/>
  <c r="F14" i="1"/>
  <c r="R14" i="1" s="1"/>
  <c r="E14" i="1"/>
  <c r="D14" i="1"/>
  <c r="Q13" i="1"/>
  <c r="Q12" i="1" s="1"/>
  <c r="P13" i="1"/>
  <c r="P12" i="1" s="1"/>
  <c r="O13" i="1"/>
  <c r="O12" i="1" s="1"/>
  <c r="N13" i="1"/>
  <c r="N12" i="1" s="1"/>
  <c r="M13" i="1"/>
  <c r="L13" i="1"/>
  <c r="L12" i="1" s="1"/>
  <c r="K13" i="1"/>
  <c r="K12" i="1" s="1"/>
  <c r="J13" i="1"/>
  <c r="J12" i="1" s="1"/>
  <c r="I13" i="1"/>
  <c r="H13" i="1"/>
  <c r="G13" i="1"/>
  <c r="F13" i="1"/>
  <c r="R13" i="1" s="1"/>
  <c r="E13" i="1"/>
  <c r="E12" i="1" s="1"/>
  <c r="D13" i="1"/>
  <c r="D12" i="1" s="1"/>
  <c r="G12" i="1"/>
  <c r="G11" i="1" s="1"/>
  <c r="F12" i="1"/>
  <c r="C4" i="1"/>
  <c r="C3" i="1"/>
  <c r="E85" i="1" l="1"/>
  <c r="E11" i="1"/>
  <c r="R18" i="1"/>
  <c r="R47" i="1"/>
  <c r="R64" i="1"/>
  <c r="M76" i="1"/>
  <c r="M11" i="1" s="1"/>
  <c r="D85" i="1"/>
  <c r="D11" i="1"/>
  <c r="Q85" i="1"/>
  <c r="Q11" i="1"/>
  <c r="N76" i="1"/>
  <c r="K85" i="1"/>
  <c r="K11" i="1"/>
  <c r="J11" i="1"/>
  <c r="J85" i="1"/>
  <c r="L85" i="1"/>
  <c r="L11" i="1"/>
  <c r="R54" i="1"/>
  <c r="I11" i="1"/>
  <c r="I85" i="1"/>
  <c r="R76" i="1"/>
  <c r="D76" i="1"/>
  <c r="N85" i="1"/>
  <c r="N11" i="1"/>
  <c r="H11" i="1"/>
  <c r="H85" i="1"/>
  <c r="R28" i="1"/>
  <c r="O85" i="1"/>
  <c r="O11" i="1"/>
  <c r="P85" i="1"/>
  <c r="P11" i="1"/>
  <c r="R12" i="1"/>
  <c r="G85" i="1"/>
  <c r="F18" i="1"/>
  <c r="F85" i="1" s="1"/>
  <c r="F38" i="1"/>
  <c r="F54" i="1"/>
  <c r="R67" i="1"/>
  <c r="R71" i="1"/>
  <c r="R69" i="1" s="1"/>
  <c r="F47" i="1"/>
  <c r="F11" i="1" s="1"/>
  <c r="F80" i="1"/>
  <c r="F76" i="1" s="1"/>
  <c r="R11" i="1" l="1"/>
  <c r="M85" i="1"/>
  <c r="R85" i="1"/>
</calcChain>
</file>

<file path=xl/sharedStrings.xml><?xml version="1.0" encoding="utf-8"?>
<sst xmlns="http://schemas.openxmlformats.org/spreadsheetml/2006/main" count="95" uniqueCount="95">
  <si>
    <t>Al 30 de Noviembre 2025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</si>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</sst>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5\2025%20-%20Transparencia\11.%20Transparencia%20Noviembre%20%202025\Transparencia%20base%20de%20datos%202025.xlsx" TargetMode="External"/><Relationship Id="rId1" Type="http://schemas.openxmlformats.org/officeDocument/2006/relationships/externalLinkPath" Target="/PRESUPUESTO/2025/2025%20-%20Transparencia/11.%20Transparencia%20Noviembre%20%202025/Transparencia%20base%20de%20dat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5E70C1-F217-470C-B194-BCF1F1FA893D}" name="Tabla5" displayName="Tabla5" ref="C10:R85" totalsRowShown="0" headerRowDxfId="18" dataDxfId="17" headerRowBorderDxfId="16">
  <autoFilter ref="C10:R85" xr:uid="{00000000-0009-0000-0100-000005000000}"/>
  <tableColumns count="16">
    <tableColumn id="1" xr3:uid="{06B71657-542D-4123-999F-8BFD1EFE3743}" name="DETALLE" dataDxfId="15"/>
    <tableColumn id="2" xr3:uid="{111F6E14-5D9B-47D1-8EEF-71843097762E}" name="Presupuesto Aprobado" dataDxfId="14">
      <calculatedColumnFormula>IFERROR(VLOOKUP(Tabla5[[#This Row],[DETALLE]],[1]!P1PRESUPUESTO[#Data],2,FALSE),0)</calculatedColumnFormula>
    </tableColumn>
    <tableColumn id="3" xr3:uid="{BFF97888-FD98-4394-9BF7-5545348E9E42}" name="Presupuesto Modificado" dataDxfId="13">
      <calculatedColumnFormula>IFERROR(VLOOKUP(Tabla5[[#This Row],[DETALLE]],[1]!P1PRESUPUESTO[#Data],3,FALSE),0)</calculatedColumnFormula>
    </tableColumn>
    <tableColumn id="4" xr3:uid="{98FDF79C-5CF7-43D4-BE99-A8EDCC63950F}" name="Enero " dataDxfId="12">
      <calculatedColumnFormula>IFERROR(VLOOKUP(Tabla5[[#This Row],[DETALLE]],[1]!P3EJECUCION[#Data],2,FALSE),0)</calculatedColumnFormula>
    </tableColumn>
    <tableColumn id="5" xr3:uid="{FBDD7E63-2DFC-4CE5-A8DC-A3047B9BB2B4}" name="Febrero" dataDxfId="11">
      <calculatedColumnFormula>IFERROR(VLOOKUP(Tabla5[[#This Row],[DETALLE]],[1]!P3EJECUCION[#Data],3,FALSE),0)</calculatedColumnFormula>
    </tableColumn>
    <tableColumn id="6" xr3:uid="{0D536CFF-7A78-4913-ADFD-F3A5F6EF0C18}" name="Marzo" dataDxfId="10">
      <calculatedColumnFormula>IFERROR(VLOOKUP(Tabla5[[#This Row],[DETALLE]],[1]!P3EJECUCION[#Data],4,FALSE),0)</calculatedColumnFormula>
    </tableColumn>
    <tableColumn id="7" xr3:uid="{ECAE5DBE-73DE-4B58-B9DB-0A0C29ACD79B}" name="Abril" dataDxfId="9">
      <calculatedColumnFormula>IFERROR(VLOOKUP(Tabla5[[#This Row],[DETALLE]],[1]!P3EJECUCION[#Data],5,FALSE),0)</calculatedColumnFormula>
    </tableColumn>
    <tableColumn id="8" xr3:uid="{315575F1-4EEC-4FC7-BC45-54FA5A585F46}" name="Mayo" dataDxfId="8">
      <calculatedColumnFormula>IFERROR(VLOOKUP(Tabla5[[#This Row],[DETALLE]],[1]!P3EJECUCION[#Data],6,FALSE),0)</calculatedColumnFormula>
    </tableColumn>
    <tableColumn id="9" xr3:uid="{28388256-8045-4EC5-B034-31A5BB91B6B4}" name="Junio" dataDxfId="7">
      <calculatedColumnFormula>IFERROR(VLOOKUP(Tabla5[[#This Row],[DETALLE]],[1]!P3EJECUCION[#Data],7,FALSE),0)</calculatedColumnFormula>
    </tableColumn>
    <tableColumn id="10" xr3:uid="{B004EA1B-040F-46B6-81CE-994D052C180E}" name="Julio" dataDxfId="6">
      <calculatedColumnFormula>IFERROR(VLOOKUP(Tabla5[[#This Row],[DETALLE]],[1]!P3EJECUCION[#Data],8,FALSE),0)</calculatedColumnFormula>
    </tableColumn>
    <tableColumn id="11" xr3:uid="{830119E6-7EFB-48A5-A0C1-D1FF23D49DF2}" name="Agosto " dataDxfId="5">
      <calculatedColumnFormula>IFERROR(VLOOKUP(Tabla5[[#This Row],[DETALLE]],[1]!P3EJECUCION[#Data],9,FALSE),0)</calculatedColumnFormula>
    </tableColumn>
    <tableColumn id="12" xr3:uid="{332C7829-0BB2-48C8-A988-5C97B3C7B701}" name="Septiembre" dataDxfId="4">
      <calculatedColumnFormula>IFERROR(VLOOKUP(Tabla5[[#This Row],[DETALLE]],[1]!P3EJECUCION[#Data],10,FALSE),0)</calculatedColumnFormula>
    </tableColumn>
    <tableColumn id="13" xr3:uid="{D393BDA8-8890-4106-946F-2137DB71F304}" name="Octubre" dataDxfId="3">
      <calculatedColumnFormula>IFERROR(VLOOKUP(Tabla5[[#This Row],[DETALLE]],[1]!P3EJECUCION[#Data],11,FALSE),0)</calculatedColumnFormula>
    </tableColumn>
    <tableColumn id="14" xr3:uid="{49905EFF-40DE-48B0-AAA9-E88849DB60E6}" name="Noviembre " dataDxfId="2">
      <calculatedColumnFormula>IFERROR(VLOOKUP(Tabla5[[#This Row],[DETALLE]],[1]!P3EJECUCION[#Data],12,FALSE),0)</calculatedColumnFormula>
    </tableColumn>
    <tableColumn id="15" xr3:uid="{922093A5-8677-4BDE-8579-56160718B73B}" name="Diciembre" dataDxfId="1">
      <calculatedColumnFormula>IFERROR(VLOOKUP(Tabla5[[#This Row],[DETALLE]],[1]!P3EJECUCION[#Data],13,FALSE),0)</calculatedColumnFormula>
    </tableColumn>
    <tableColumn id="16" xr3:uid="{76022D87-894F-4E70-8986-45A2E69BCE02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07AF-E066-4224-8FCF-1C90FB6BEC7B}">
  <dimension ref="C3:R85"/>
  <sheetViews>
    <sheetView showGridLines="0" tabSelected="1" zoomScale="90" zoomScaleNormal="90" zoomScaleSheetLayoutView="70" workbookViewId="0">
      <selection activeCell="R85" sqref="R85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296978631</v>
      </c>
      <c r="E11" s="19">
        <f t="shared" ref="E11:Q11" si="0">E12+E18+E28+E38+E47+E54+E64+E69+E72+E76</f>
        <v>433943562.77999997</v>
      </c>
      <c r="F11" s="19">
        <f>F12+F18+F28+F38+F47+F54+F64+F69+F72+F76</f>
        <v>11149142.82</v>
      </c>
      <c r="G11" s="19">
        <f t="shared" si="0"/>
        <v>12077320.040000001</v>
      </c>
      <c r="H11" s="19">
        <f>H12+H18+H28+H38+H54</f>
        <v>28676384.960000001</v>
      </c>
      <c r="I11" s="19">
        <f t="shared" si="0"/>
        <v>20456092.25</v>
      </c>
      <c r="J11" s="19">
        <f t="shared" si="0"/>
        <v>25137543.300000001</v>
      </c>
      <c r="K11" s="19">
        <f t="shared" si="0"/>
        <v>22563025.899999999</v>
      </c>
      <c r="L11" s="19">
        <f t="shared" si="0"/>
        <v>20195063.810000002</v>
      </c>
      <c r="M11" s="19">
        <f t="shared" si="0"/>
        <v>28019905.090000004</v>
      </c>
      <c r="N11" s="19">
        <f t="shared" si="0"/>
        <v>19451330.399999999</v>
      </c>
      <c r="O11" s="19">
        <f t="shared" si="0"/>
        <v>20001770.469999999</v>
      </c>
      <c r="P11" s="19">
        <f t="shared" si="0"/>
        <v>31874903.030000001</v>
      </c>
      <c r="Q11" s="19">
        <f t="shared" si="0"/>
        <v>0</v>
      </c>
      <c r="R11" s="19">
        <f>SUM(Tabla5[[#This Row],[Enero ]:[Diciembre]])</f>
        <v>239602482.06999999</v>
      </c>
    </row>
    <row r="12" spans="3:18" ht="15.75" x14ac:dyDescent="0.25">
      <c r="C12" s="20" t="s">
        <v>21</v>
      </c>
      <c r="D12" s="21">
        <f>D13+D14+D15+D16+D17</f>
        <v>197468860</v>
      </c>
      <c r="E12" s="21">
        <f t="shared" ref="E12:R12" si="1">E13+E14+E15+E16+E17</f>
        <v>208768860</v>
      </c>
      <c r="F12" s="21">
        <f>F13+F14+F15+F16+F17</f>
        <v>9684663.8000000007</v>
      </c>
      <c r="G12" s="21">
        <f t="shared" si="1"/>
        <v>9544731.9900000002</v>
      </c>
      <c r="H12" s="21">
        <f t="shared" si="1"/>
        <v>14760562.77</v>
      </c>
      <c r="I12" s="21">
        <f t="shared" si="1"/>
        <v>9460278.2899999991</v>
      </c>
      <c r="J12" s="21">
        <f t="shared" si="1"/>
        <v>17320711.620000001</v>
      </c>
      <c r="K12" s="21">
        <f t="shared" si="1"/>
        <v>12363333.210000001</v>
      </c>
      <c r="L12" s="21">
        <f t="shared" si="1"/>
        <v>11070876.300000001</v>
      </c>
      <c r="M12" s="21">
        <f t="shared" si="1"/>
        <v>20502819.620000001</v>
      </c>
      <c r="N12" s="21">
        <f t="shared" si="1"/>
        <v>9549886.0999999996</v>
      </c>
      <c r="O12" s="21">
        <f t="shared" si="1"/>
        <v>9862827.7699999996</v>
      </c>
      <c r="P12" s="21">
        <f t="shared" si="1"/>
        <v>12502982.790000001</v>
      </c>
      <c r="Q12" s="21">
        <f t="shared" si="1"/>
        <v>0</v>
      </c>
      <c r="R12" s="21">
        <f t="shared" si="1"/>
        <v>136623674.26000002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121959220</v>
      </c>
      <c r="E13" s="23">
        <f>IFERROR(VLOOKUP(Tabla5[[#This Row],[DETALLE]],[1]!P1PRESUPUESTO[#Data],3,FALSE),0)</f>
        <v>125559220</v>
      </c>
      <c r="F13" s="23">
        <f>IFERROR(VLOOKUP(Tabla5[[#This Row],[DETALLE]],[1]!P3EJECUCION[#All],2,FALSE),0)</f>
        <v>8235380</v>
      </c>
      <c r="G13" s="23">
        <f>IFERROR(VLOOKUP(Tabla5[[#This Row],[DETALLE]],[1]!P3EJECUCION[#All],3,FALSE),0)</f>
        <v>8118380</v>
      </c>
      <c r="H13" s="23">
        <f>IFERROR(VLOOKUP(Tabla5[[#This Row],[DETALLE]],[1]!P3EJECUCION[#All],4,FALSE),0)</f>
        <v>8584328.6699999999</v>
      </c>
      <c r="I13" s="23">
        <f>IFERROR(VLOOKUP(Tabla5[[#This Row],[DETALLE]],[1]!P3EJECUCION[#All],5,FALSE),0)</f>
        <v>8045380</v>
      </c>
      <c r="J13" s="23">
        <f>IFERROR(VLOOKUP(Tabla5[[#This Row],[DETALLE]],[1]!P3EJECUCION[#All],6,FALSE),0)</f>
        <v>8185380</v>
      </c>
      <c r="K13" s="23">
        <f>IFERROR(VLOOKUP(Tabla5[[#This Row],[DETALLE]],[1]!P3EJECUCION[#All],7,FALSE),0)</f>
        <v>8602908.4499999993</v>
      </c>
      <c r="L13" s="23">
        <f>IFERROR(VLOOKUP(Tabla5[[#This Row],[DETALLE]],[1]!P3EJECUCION[#All],8,FALSE),0)</f>
        <v>8192548.3499999996</v>
      </c>
      <c r="M13" s="23">
        <f>IFERROR(VLOOKUP(Tabla5[[#This Row],[DETALLE]],[1]!P3EJECUCION[#All],9,FALSE),0)</f>
        <v>9293990.5199999996</v>
      </c>
      <c r="N13" s="23">
        <f>IFERROR(VLOOKUP(Tabla5[[#This Row],[DETALLE]],[1]!P3EJECUCION[#Data],10,FALSE),0)</f>
        <v>8071438.3300000001</v>
      </c>
      <c r="O13" s="23">
        <f>IFERROR(VLOOKUP(Tabla5[[#This Row],[DETALLE]],[1]!P3EJECUCION[#Data],11,FALSE),0)</f>
        <v>8384380</v>
      </c>
      <c r="P13" s="23">
        <f>IFERROR(VLOOKUP(Tabla5[[#This Row],[DETALLE]],[1]!P3EJECUCION[#Data],12,FALSE),0)</f>
        <v>8384380</v>
      </c>
      <c r="Q13" s="23">
        <f>IFERROR(VLOOKUP(Tabla5[[#This Row],[DETALLE]],[1]!P3EJECUCION[#Data],13,FALSE),0)</f>
        <v>0</v>
      </c>
      <c r="R13" s="24">
        <f>SUM(Tabla5[[#This Row],[Enero ]:[Diciembre]])</f>
        <v>92098494.320000008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51728640</v>
      </c>
      <c r="E14" s="23">
        <f>IFERROR(VLOOKUP(Tabla5[[#This Row],[DETALLE]],[1]!P1PRESUPUESTO[#Data],3,FALSE),0)</f>
        <v>65248640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215324</v>
      </c>
      <c r="H14" s="23">
        <f>IFERROR(VLOOKUP(Tabla5[[#This Row],[DETALLE]],[1]!P3EJECUCION[#All],4,FALSE),0)</f>
        <v>4885689.8899999997</v>
      </c>
      <c r="I14" s="23">
        <f>IFERROR(VLOOKUP(Tabla5[[#This Row],[DETALLE]],[1]!P3EJECUCION[#All],5,FALSE),0)</f>
        <v>209156</v>
      </c>
      <c r="J14" s="23">
        <f>IFERROR(VLOOKUP(Tabla5[[#This Row],[DETALLE]],[1]!P3EJECUCION[#All],6,FALSE),0)</f>
        <v>7908183.3300000001</v>
      </c>
      <c r="K14" s="23">
        <f>IFERROR(VLOOKUP(Tabla5[[#This Row],[DETALLE]],[1]!P3EJECUCION[#All],7,FALSE),0)</f>
        <v>2409882.41</v>
      </c>
      <c r="L14" s="23">
        <f>IFERROR(VLOOKUP(Tabla5[[#This Row],[DETALLE]],[1]!P3EJECUCION[#All],8,FALSE),0)</f>
        <v>1623804.86</v>
      </c>
      <c r="M14" s="23">
        <f>IFERROR(VLOOKUP(Tabla5[[#This Row],[DETALLE]],[1]!P3EJECUCION[#All],9,FALSE),0)</f>
        <v>9842827.6199999992</v>
      </c>
      <c r="N14" s="23">
        <f>IFERROR(VLOOKUP(Tabla5[[#This Row],[DETALLE]],[1]!P3EJECUCION[#Data],10,FALSE),0)</f>
        <v>221220</v>
      </c>
      <c r="O14" s="23">
        <f>IFERROR(VLOOKUP(Tabla5[[#This Row],[DETALLE]],[1]!P3EJECUCION[#Data],11,FALSE),0)</f>
        <v>221220</v>
      </c>
      <c r="P14" s="23">
        <f>IFERROR(VLOOKUP(Tabla5[[#This Row],[DETALLE]],[1]!P3EJECUCION[#Data],12,FALSE),0)</f>
        <v>2510746.14</v>
      </c>
      <c r="Q14" s="23">
        <f>IFERROR(VLOOKUP(Tabla5[[#This Row],[DETALLE]],[1]!P3EJECUCION[#Data],13,FALSE),0)</f>
        <v>0</v>
      </c>
      <c r="R14" s="24">
        <f>SUM(Tabla5[[#This Row],[Enero ]:[Diciembre]])</f>
        <v>30269274.25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87303.59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77629.56</v>
      </c>
      <c r="L15" s="23">
        <f>IFERROR(VLOOKUP(Tabla5[[#This Row],[DETALLE]],[1]!P3EJECUCION[#All],8,FALSE),0)</f>
        <v>22236.799999999999</v>
      </c>
      <c r="M15" s="23">
        <f>IFERROR(VLOOKUP(Tabla5[[#This Row],[DETALLE]],[1]!P3EJECUCION[#All],9,FALSE),0)</f>
        <v>73987.199999999997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67364.72</v>
      </c>
      <c r="Q15" s="23">
        <f>IFERROR(VLOOKUP(Tabla5[[#This Row],[DETALLE]],[1]!P3EJECUCION[#Data],13,FALSE),0)</f>
        <v>0</v>
      </c>
      <c r="R15" s="24">
        <f>SUM(Tabla5[[#This Row],[Enero ]:[Diciembre]])</f>
        <v>328521.87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6320000</v>
      </c>
      <c r="E16" s="23">
        <f>IFERROR(VLOOKUP(Tabla5[[#This Row],[DETALLE]],[1]!P1PRESUPUESTO[#Data],3,FALSE),0)</f>
        <v>500000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10000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45000</v>
      </c>
      <c r="L16" s="23">
        <f>IFERROR(VLOOKUP(Tabla5[[#This Row],[DETALLE]],[1]!P3EJECUCION[#All],8,FALSE),0)</f>
        <v>10000</v>
      </c>
      <c r="M16" s="23">
        <f>IFERROR(VLOOKUP(Tabla5[[#This Row],[DETALLE]],[1]!P3EJECUCION[#All],9,FALSE),0)</f>
        <v>45000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283264.15999999997</v>
      </c>
      <c r="Q16" s="23">
        <f>IFERROR(VLOOKUP(Tabla5[[#This Row],[DETALLE]],[1]!P3EJECUCION[#Data],13,FALSE),0)</f>
        <v>0</v>
      </c>
      <c r="R16" s="24">
        <f>SUM(Tabla5[[#This Row],[Enero ]:[Diciembre]])</f>
        <v>393264.16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16461000</v>
      </c>
      <c r="E17" s="23">
        <f>IFERROR(VLOOKUP(Tabla5[[#This Row],[DETALLE]],[1]!P1PRESUPUESTO[#Data],3,FALSE),0)</f>
        <v>16461000</v>
      </c>
      <c r="F17" s="23">
        <f>IFERROR(VLOOKUP(Tabla5[[#This Row],[DETALLE]],[1]!P3EJECUCION[#All],2,FALSE),0)</f>
        <v>1228063.8</v>
      </c>
      <c r="G17" s="23">
        <f>IFERROR(VLOOKUP(Tabla5[[#This Row],[DETALLE]],[1]!P3EJECUCION[#All],3,FALSE),0)</f>
        <v>1211027.99</v>
      </c>
      <c r="H17" s="23">
        <f>IFERROR(VLOOKUP(Tabla5[[#This Row],[DETALLE]],[1]!P3EJECUCION[#All],4,FALSE),0)</f>
        <v>1193240.6200000001</v>
      </c>
      <c r="I17" s="23">
        <f>IFERROR(VLOOKUP(Tabla5[[#This Row],[DETALLE]],[1]!P3EJECUCION[#All],5,FALSE),0)</f>
        <v>1205742.29</v>
      </c>
      <c r="J17" s="23">
        <f>IFERROR(VLOOKUP(Tabla5[[#This Row],[DETALLE]],[1]!P3EJECUCION[#All],6,FALSE),0)</f>
        <v>1227148.29</v>
      </c>
      <c r="K17" s="23">
        <f>IFERROR(VLOOKUP(Tabla5[[#This Row],[DETALLE]],[1]!P3EJECUCION[#All],7,FALSE),0)</f>
        <v>1227912.79</v>
      </c>
      <c r="L17" s="23">
        <f>IFERROR(VLOOKUP(Tabla5[[#This Row],[DETALLE]],[1]!P3EJECUCION[#All],8,FALSE),0)</f>
        <v>1222286.29</v>
      </c>
      <c r="M17" s="23">
        <f>IFERROR(VLOOKUP(Tabla5[[#This Row],[DETALLE]],[1]!P3EJECUCION[#All],9,FALSE),0)</f>
        <v>1247014.28</v>
      </c>
      <c r="N17" s="23">
        <f>IFERROR(VLOOKUP(Tabla5[[#This Row],[DETALLE]],[1]!P3EJECUCION[#Data],10,FALSE),0)</f>
        <v>1257227.77</v>
      </c>
      <c r="O17" s="23">
        <f>IFERROR(VLOOKUP(Tabla5[[#This Row],[DETALLE]],[1]!P3EJECUCION[#Data],11,FALSE),0)</f>
        <v>1257227.77</v>
      </c>
      <c r="P17" s="23">
        <f>IFERROR(VLOOKUP(Tabla5[[#This Row],[DETALLE]],[1]!P3EJECUCION[#Data],12,FALSE),0)</f>
        <v>1257227.77</v>
      </c>
      <c r="Q17" s="23">
        <f>IFERROR(VLOOKUP(Tabla5[[#This Row],[DETALLE]],[1]!P3EJECUCION[#Data],13,FALSE),0)</f>
        <v>0</v>
      </c>
      <c r="R17" s="24">
        <f>SUM(Tabla5[[#This Row],[Enero ]:[Diciembre]])</f>
        <v>13534119.659999998</v>
      </c>
    </row>
    <row r="18" spans="3:18" ht="15.75" x14ac:dyDescent="0.25">
      <c r="C18" s="20" t="s">
        <v>27</v>
      </c>
      <c r="D18" s="21">
        <f>D19+D20+D21+D22+D23+D24+D25+D26+D27</f>
        <v>59160614</v>
      </c>
      <c r="E18" s="21">
        <f t="shared" ref="E18:R18" si="2">E19+E20+E21+E22+E23+E24+E25+E26+E27</f>
        <v>140326645.78</v>
      </c>
      <c r="F18" s="21">
        <f t="shared" si="2"/>
        <v>864479.02</v>
      </c>
      <c r="G18" s="21">
        <f t="shared" si="2"/>
        <v>1628767.5400000003</v>
      </c>
      <c r="H18" s="21">
        <f>H19+H20+H21+H22+H23+H24+H25+H26+H27</f>
        <v>6682694.0800000001</v>
      </c>
      <c r="I18" s="21">
        <f t="shared" si="2"/>
        <v>3194322.12</v>
      </c>
      <c r="J18" s="21">
        <f t="shared" si="2"/>
        <v>3280895.2</v>
      </c>
      <c r="K18" s="21">
        <f t="shared" si="2"/>
        <v>8163532</v>
      </c>
      <c r="L18" s="21">
        <f t="shared" si="2"/>
        <v>5676891.3300000001</v>
      </c>
      <c r="M18" s="21">
        <f t="shared" si="2"/>
        <v>3031334.03</v>
      </c>
      <c r="N18" s="21">
        <f t="shared" si="2"/>
        <v>4181806.56</v>
      </c>
      <c r="O18" s="21">
        <f t="shared" si="2"/>
        <v>6767431.5</v>
      </c>
      <c r="P18" s="21">
        <f t="shared" si="2"/>
        <v>9530957.870000001</v>
      </c>
      <c r="Q18" s="21">
        <f t="shared" si="2"/>
        <v>0</v>
      </c>
      <c r="R18" s="21">
        <f t="shared" si="2"/>
        <v>53003111.25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11607013</v>
      </c>
      <c r="E19" s="23">
        <f>IFERROR(VLOOKUP(Tabla5[[#This Row],[DETALLE]],[1]!P1PRESUPUESTO[#Data],3,FALSE),0)</f>
        <v>13232013</v>
      </c>
      <c r="F19" s="23">
        <f>IFERROR(VLOOKUP(Tabla5[[#This Row],[DETALLE]],[1]!P3EJECUCION[#All],2,FALSE),0)</f>
        <v>250384.35</v>
      </c>
      <c r="G19" s="23">
        <f>IFERROR(VLOOKUP(Tabla5[[#This Row],[DETALLE]],[1]!P3EJECUCION[#All],3,FALSE),0)</f>
        <v>709617.94</v>
      </c>
      <c r="H19" s="23">
        <f>IFERROR(VLOOKUP(Tabla5[[#This Row],[DETALLE]],[1]!P3EJECUCION[#All],4,FALSE),0)</f>
        <v>1209769.1000000001</v>
      </c>
      <c r="I19" s="23">
        <f>IFERROR(VLOOKUP(Tabla5[[#This Row],[DETALLE]],[1]!P3EJECUCION[#All],5,FALSE),0)</f>
        <v>847466.31</v>
      </c>
      <c r="J19" s="23">
        <f>IFERROR(VLOOKUP(Tabla5[[#This Row],[DETALLE]],[1]!P3EJECUCION[#All],6,FALSE),0)</f>
        <v>1388479.4</v>
      </c>
      <c r="K19" s="23">
        <f>IFERROR(VLOOKUP(Tabla5[[#This Row],[DETALLE]],[1]!P3EJECUCION[#All],7,FALSE),0)</f>
        <v>1576937.45</v>
      </c>
      <c r="L19" s="23">
        <f>IFERROR(VLOOKUP(Tabla5[[#This Row],[DETALLE]],[1]!P3EJECUCION[#All],8,FALSE),0)</f>
        <v>1544403.17</v>
      </c>
      <c r="M19" s="23">
        <f>IFERROR(VLOOKUP(Tabla5[[#This Row],[DETALLE]],[1]!P3EJECUCION[#All],9,FALSE),0)</f>
        <v>930493</v>
      </c>
      <c r="N19" s="23">
        <f>IFERROR(VLOOKUP(Tabla5[[#This Row],[DETALLE]],[1]!P3EJECUCION[#Data],10,FALSE),0)</f>
        <v>190028.82</v>
      </c>
      <c r="O19" s="23">
        <f>IFERROR(VLOOKUP(Tabla5[[#This Row],[DETALLE]],[1]!P3EJECUCION[#Data],11,FALSE),0)</f>
        <v>1034834.32</v>
      </c>
      <c r="P19" s="23">
        <f>IFERROR(VLOOKUP(Tabla5[[#This Row],[DETALLE]],[1]!P3EJECUCION[#Data],12,FALSE),0)</f>
        <v>835363.1</v>
      </c>
      <c r="Q19" s="23">
        <f>IFERROR(VLOOKUP(Tabla5[[#This Row],[DETALLE]],[1]!P3EJECUCION[#Data],13,FALSE),0)</f>
        <v>0</v>
      </c>
      <c r="R19" s="24">
        <f>SUM(Tabla5[[#This Row],[Enero ]:[Diciembre]])</f>
        <v>10517776.959999999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1271700</v>
      </c>
      <c r="E20" s="23">
        <f>IFERROR(VLOOKUP(Tabla5[[#This Row],[DETALLE]],[1]!P1PRESUPUESTO[#Data],3,FALSE),0)</f>
        <v>1464550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5369</v>
      </c>
      <c r="H20" s="23">
        <f>IFERROR(VLOOKUP(Tabla5[[#This Row],[DETALLE]],[1]!P3EJECUCION[#All],4,FALSE),0)</f>
        <v>112513</v>
      </c>
      <c r="I20" s="23">
        <f>IFERROR(VLOOKUP(Tabla5[[#This Row],[DETALLE]],[1]!P3EJECUCION[#All],5,FALSE),0)</f>
        <v>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414260.24</v>
      </c>
      <c r="L20" s="23">
        <f>IFERROR(VLOOKUP(Tabla5[[#This Row],[DETALLE]],[1]!P3EJECUCION[#All],8,FALSE),0)</f>
        <v>5664</v>
      </c>
      <c r="M20" s="23">
        <f>IFERROR(VLOOKUP(Tabla5[[#This Row],[DETALLE]],[1]!P3EJECUCION[#All],9,FALSE),0)</f>
        <v>207308</v>
      </c>
      <c r="N20" s="23">
        <f>IFERROR(VLOOKUP(Tabla5[[#This Row],[DETALLE]],[1]!P3EJECUCION[#Data],10,FALSE),0)</f>
        <v>181944.2</v>
      </c>
      <c r="O20" s="23">
        <f>IFERROR(VLOOKUP(Tabla5[[#This Row],[DETALLE]],[1]!P3EJECUCION[#Data],11,FALSE),0)</f>
        <v>2301</v>
      </c>
      <c r="P20" s="23">
        <f>IFERROR(VLOOKUP(Tabla5[[#This Row],[DETALLE]],[1]!P3EJECUCION[#Data],12,FALSE),0)</f>
        <v>136065.70000000001</v>
      </c>
      <c r="Q20" s="23">
        <f>IFERROR(VLOOKUP(Tabla5[[#This Row],[DETALLE]],[1]!P3EJECUCION[#Data],13,FALSE),0)</f>
        <v>0</v>
      </c>
      <c r="R20" s="24">
        <f>SUM(Tabla5[[#This Row],[Enero ]:[Diciembre]])</f>
        <v>1065425.1399999999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5700000</v>
      </c>
      <c r="E21" s="23">
        <f>IFERROR(VLOOKUP(Tabla5[[#This Row],[DETALLE]],[1]!P1PRESUPUESTO[#Data],3,FALSE),0)</f>
        <v>5700000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0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1435167.36</v>
      </c>
      <c r="L21" s="23">
        <f>IFERROR(VLOOKUP(Tabla5[[#This Row],[DETALLE]],[1]!P3EJECUCION[#All],8,FALSE),0)</f>
        <v>730834.85</v>
      </c>
      <c r="M21" s="23">
        <f>IFERROR(VLOOKUP(Tabla5[[#This Row],[DETALLE]],[1]!P3EJECUCION[#All],9,FALSE),0)</f>
        <v>471483.72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1062854.68</v>
      </c>
      <c r="Q21" s="23">
        <f>IFERROR(VLOOKUP(Tabla5[[#This Row],[DETALLE]],[1]!P3EJECUCION[#Data],13,FALSE),0)</f>
        <v>0</v>
      </c>
      <c r="R21" s="24">
        <f>SUM(Tabla5[[#This Row],[Enero ]:[Diciembre]])</f>
        <v>3700340.6099999994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1405000</v>
      </c>
      <c r="E22" s="23">
        <f>IFERROR(VLOOKUP(Tabla5[[#This Row],[DETALLE]],[1]!P1PRESUPUESTO[#Data],3,FALSE),0)</f>
        <v>2105000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0</v>
      </c>
      <c r="H22" s="23">
        <f>IFERROR(VLOOKUP(Tabla5[[#This Row],[DETALLE]],[1]!P3EJECUCION[#All],4,FALSE),0)</f>
        <v>424204.04</v>
      </c>
      <c r="I22" s="23">
        <f>IFERROR(VLOOKUP(Tabla5[[#This Row],[DETALLE]],[1]!P3EJECUCION[#All],5,FALSE),0)</f>
        <v>0</v>
      </c>
      <c r="J22" s="23">
        <f>IFERROR(VLOOKUP(Tabla5[[#This Row],[DETALLE]],[1]!P3EJECUCION[#All],6,FALSE),0)</f>
        <v>58897.3</v>
      </c>
      <c r="K22" s="23">
        <f>IFERROR(VLOOKUP(Tabla5[[#This Row],[DETALLE]],[1]!P3EJECUCION[#All],7,FALSE),0)</f>
        <v>661277.98</v>
      </c>
      <c r="L22" s="23">
        <f>IFERROR(VLOOKUP(Tabla5[[#This Row],[DETALLE]],[1]!P3EJECUCION[#All],8,FALSE),0)</f>
        <v>103765.65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150516.42000000001</v>
      </c>
      <c r="P22" s="23">
        <f>IFERROR(VLOOKUP(Tabla5[[#This Row],[DETALLE]],[1]!P3EJECUCION[#Data],12,FALSE),0)</f>
        <v>43020</v>
      </c>
      <c r="Q22" s="23">
        <f>IFERROR(VLOOKUP(Tabla5[[#This Row],[DETALLE]],[1]!P3EJECUCION[#Data],13,FALSE),0)</f>
        <v>0</v>
      </c>
      <c r="R22" s="24">
        <f>SUM(Tabla5[[#This Row],[Enero ]:[Diciembre]])</f>
        <v>1441681.3899999997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4725000</v>
      </c>
      <c r="E23" s="23">
        <f>IFERROR(VLOOKUP(Tabla5[[#This Row],[DETALLE]],[1]!P1PRESUPUESTO[#Data],3,FALSE),0)</f>
        <v>11068500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576506.13</v>
      </c>
      <c r="I23" s="23">
        <f>IFERROR(VLOOKUP(Tabla5[[#This Row],[DETALLE]],[1]!P3EJECUCION[#All],5,FALSE),0)</f>
        <v>225674.94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1104696.5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1612502.5</v>
      </c>
      <c r="O23" s="23">
        <f>IFERROR(VLOOKUP(Tabla5[[#This Row],[DETALLE]],[1]!P3EJECUCION[#Data],11,FALSE),0)</f>
        <v>2300000</v>
      </c>
      <c r="P23" s="23">
        <f>IFERROR(VLOOKUP(Tabla5[[#This Row],[DETALLE]],[1]!P3EJECUCION[#Data],12,FALSE),0)</f>
        <v>705197.46</v>
      </c>
      <c r="Q23" s="23">
        <f>IFERROR(VLOOKUP(Tabla5[[#This Row],[DETALLE]],[1]!P3EJECUCION[#Data],13,FALSE),0)</f>
        <v>0</v>
      </c>
      <c r="R23" s="24">
        <f>SUM(Tabla5[[#This Row],[Enero ]:[Diciembre]])</f>
        <v>6524577.5300000003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11666300</v>
      </c>
      <c r="E24" s="23">
        <f>IFERROR(VLOOKUP(Tabla5[[#This Row],[DETALLE]],[1]!P1PRESUPUESTO[#Data],3,FALSE),0)</f>
        <v>27905965.079999998</v>
      </c>
      <c r="F24" s="23">
        <f>IFERROR(VLOOKUP(Tabla5[[#This Row],[DETALLE]],[1]!P3EJECUCION[#All],2,FALSE),0)</f>
        <v>614094.67000000004</v>
      </c>
      <c r="G24" s="23">
        <f>IFERROR(VLOOKUP(Tabla5[[#This Row],[DETALLE]],[1]!P3EJECUCION[#All],3,FALSE),0)</f>
        <v>733247.66</v>
      </c>
      <c r="H24" s="23">
        <f>IFERROR(VLOOKUP(Tabla5[[#This Row],[DETALLE]],[1]!P3EJECUCION[#All],4,FALSE),0)</f>
        <v>669474.36</v>
      </c>
      <c r="I24" s="23">
        <f>IFERROR(VLOOKUP(Tabla5[[#This Row],[DETALLE]],[1]!P3EJECUCION[#All],5,FALSE),0)</f>
        <v>606626.64</v>
      </c>
      <c r="J24" s="23">
        <f>IFERROR(VLOOKUP(Tabla5[[#This Row],[DETALLE]],[1]!P3EJECUCION[#All],6,FALSE),0)</f>
        <v>765937.24</v>
      </c>
      <c r="K24" s="23">
        <f>IFERROR(VLOOKUP(Tabla5[[#This Row],[DETALLE]],[1]!P3EJECUCION[#All],7,FALSE),0)</f>
        <v>745132.74</v>
      </c>
      <c r="L24" s="23">
        <f>IFERROR(VLOOKUP(Tabla5[[#This Row],[DETALLE]],[1]!P3EJECUCION[#All],8,FALSE),0)</f>
        <v>676070.04</v>
      </c>
      <c r="M24" s="23">
        <f>IFERROR(VLOOKUP(Tabla5[[#This Row],[DETALLE]],[1]!P3EJECUCION[#All],9,FALSE),0)</f>
        <v>771477.71</v>
      </c>
      <c r="N24" s="23">
        <f>IFERROR(VLOOKUP(Tabla5[[#This Row],[DETALLE]],[1]!P3EJECUCION[#Data],10,FALSE),0)</f>
        <v>1856178.83</v>
      </c>
      <c r="O24" s="23">
        <f>IFERROR(VLOOKUP(Tabla5[[#This Row],[DETALLE]],[1]!P3EJECUCION[#Data],11,FALSE),0)</f>
        <v>776895.77</v>
      </c>
      <c r="P24" s="23">
        <f>IFERROR(VLOOKUP(Tabla5[[#This Row],[DETALLE]],[1]!P3EJECUCION[#Data],12,FALSE),0)</f>
        <v>964718.9</v>
      </c>
      <c r="Q24" s="23">
        <f>IFERROR(VLOOKUP(Tabla5[[#This Row],[DETALLE]],[1]!P3EJECUCION[#Data],13,FALSE),0)</f>
        <v>0</v>
      </c>
      <c r="R24" s="24">
        <f>SUM(Tabla5[[#This Row],[Enero ]:[Diciembre]])</f>
        <v>9179854.5600000005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4362400</v>
      </c>
      <c r="E25" s="23">
        <f>IFERROR(VLOOKUP(Tabla5[[#This Row],[DETALLE]],[1]!P1PRESUPUESTO[#Data],3,FALSE),0)</f>
        <v>20447400</v>
      </c>
      <c r="F25" s="23">
        <f>IFERROR(VLOOKUP(Tabla5[[#This Row],[DETALLE]],[1]!P3EJECUCION[#All],2,FALSE),0)</f>
        <v>0</v>
      </c>
      <c r="G25" s="23">
        <f>IFERROR(VLOOKUP(Tabla5[[#This Row],[DETALLE]],[1]!P3EJECUCION[#All],3,FALSE),0)</f>
        <v>172256.84</v>
      </c>
      <c r="H25" s="23">
        <f>IFERROR(VLOOKUP(Tabla5[[#This Row],[DETALLE]],[1]!P3EJECUCION[#All],4,FALSE),0)</f>
        <v>195004.29</v>
      </c>
      <c r="I25" s="23">
        <f>IFERROR(VLOOKUP(Tabla5[[#This Row],[DETALLE]],[1]!P3EJECUCION[#All],5,FALSE),0)</f>
        <v>107006.61</v>
      </c>
      <c r="J25" s="23">
        <f>IFERROR(VLOOKUP(Tabla5[[#This Row],[DETALLE]],[1]!P3EJECUCION[#All],6,FALSE),0)</f>
        <v>136915.66</v>
      </c>
      <c r="K25" s="23">
        <f>IFERROR(VLOOKUP(Tabla5[[#This Row],[DETALLE]],[1]!P3EJECUCION[#All],7,FALSE),0)</f>
        <v>242805.16</v>
      </c>
      <c r="L25" s="23">
        <f>IFERROR(VLOOKUP(Tabla5[[#This Row],[DETALLE]],[1]!P3EJECUCION[#All],8,FALSE),0)</f>
        <v>82693.240000000005</v>
      </c>
      <c r="M25" s="23">
        <f>IFERROR(VLOOKUP(Tabla5[[#This Row],[DETALLE]],[1]!P3EJECUCION[#All],9,FALSE),0)</f>
        <v>212852.68</v>
      </c>
      <c r="N25" s="23">
        <f>IFERROR(VLOOKUP(Tabla5[[#This Row],[DETALLE]],[1]!P3EJECUCION[#Data],10,FALSE),0)</f>
        <v>216190.21</v>
      </c>
      <c r="O25" s="23">
        <f>IFERROR(VLOOKUP(Tabla5[[#This Row],[DETALLE]],[1]!P3EJECUCION[#Data],11,FALSE),0)</f>
        <v>205442.59</v>
      </c>
      <c r="P25" s="23">
        <f>IFERROR(VLOOKUP(Tabla5[[#This Row],[DETALLE]],[1]!P3EJECUCION[#Data],12,FALSE),0)</f>
        <v>346156.92</v>
      </c>
      <c r="Q25" s="23">
        <f>IFERROR(VLOOKUP(Tabla5[[#This Row],[DETALLE]],[1]!P3EJECUCION[#Data],13,FALSE),0)</f>
        <v>0</v>
      </c>
      <c r="R25" s="24">
        <f>SUM(Tabla5[[#This Row],[Enero ]:[Diciembre]])</f>
        <v>1917324.2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9898201</v>
      </c>
      <c r="E26" s="23">
        <f>IFERROR(VLOOKUP(Tabla5[[#This Row],[DETALLE]],[1]!P1PRESUPUESTO[#Data],3,FALSE),0)</f>
        <v>32237117.699999999</v>
      </c>
      <c r="F26" s="23">
        <f>IFERROR(VLOOKUP(Tabla5[[#This Row],[DETALLE]],[1]!P3EJECUCION[#All],2,FALSE),0)</f>
        <v>0</v>
      </c>
      <c r="G26" s="23">
        <f>IFERROR(VLOOKUP(Tabla5[[#This Row],[DETALLE]],[1]!P3EJECUCION[#All],3,FALSE),0)</f>
        <v>4366</v>
      </c>
      <c r="H26" s="23">
        <f>IFERROR(VLOOKUP(Tabla5[[#This Row],[DETALLE]],[1]!P3EJECUCION[#All],4,FALSE),0)</f>
        <v>1791467.64</v>
      </c>
      <c r="I26" s="23">
        <f>IFERROR(VLOOKUP(Tabla5[[#This Row],[DETALLE]],[1]!P3EJECUCION[#All],5,FALSE),0)</f>
        <v>330912.59999999998</v>
      </c>
      <c r="J26" s="23">
        <f>IFERROR(VLOOKUP(Tabla5[[#This Row],[DETALLE]],[1]!P3EJECUCION[#All],6,FALSE),0)</f>
        <v>24426</v>
      </c>
      <c r="K26" s="23">
        <f>IFERROR(VLOOKUP(Tabla5[[#This Row],[DETALLE]],[1]!P3EJECUCION[#All],7,FALSE),0)</f>
        <v>1899681.07</v>
      </c>
      <c r="L26" s="23">
        <f>IFERROR(VLOOKUP(Tabla5[[#This Row],[DETALLE]],[1]!P3EJECUCION[#All],8,FALSE),0)</f>
        <v>509053.21</v>
      </c>
      <c r="M26" s="23">
        <f>IFERROR(VLOOKUP(Tabla5[[#This Row],[DETALLE]],[1]!P3EJECUCION[#All],9,FALSE),0)</f>
        <v>205341.52</v>
      </c>
      <c r="N26" s="23">
        <f>IFERROR(VLOOKUP(Tabla5[[#This Row],[DETALLE]],[1]!P3EJECUCION[#Data],10,FALSE),0)</f>
        <v>124962</v>
      </c>
      <c r="O26" s="23">
        <f>IFERROR(VLOOKUP(Tabla5[[#This Row],[DETALLE]],[1]!P3EJECUCION[#Data],11,FALSE),0)</f>
        <v>2297441.4</v>
      </c>
      <c r="P26" s="23">
        <f>IFERROR(VLOOKUP(Tabla5[[#This Row],[DETALLE]],[1]!P3EJECUCION[#Data],12,FALSE),0)</f>
        <v>2402380.4700000002</v>
      </c>
      <c r="Q26" s="23">
        <f>IFERROR(VLOOKUP(Tabla5[[#This Row],[DETALLE]],[1]!P3EJECUCION[#Data],13,FALSE),0)</f>
        <v>0</v>
      </c>
      <c r="R26" s="24">
        <f>SUM(Tabla5[[#This Row],[Enero ]:[Diciembre]])</f>
        <v>9590031.9100000001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8525000</v>
      </c>
      <c r="E27" s="23">
        <f>IFERROR(VLOOKUP(Tabla5[[#This Row],[DETALLE]],[1]!P1PRESUPUESTO[#Data],3,FALSE),0)</f>
        <v>26166100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3910.1</v>
      </c>
      <c r="H27" s="23">
        <f>IFERROR(VLOOKUP(Tabla5[[#This Row],[DETALLE]],[1]!P3EJECUCION[#All],4,FALSE),0)</f>
        <v>1703755.52</v>
      </c>
      <c r="I27" s="23">
        <f>IFERROR(VLOOKUP(Tabla5[[#This Row],[DETALLE]],[1]!P3EJECUCION[#All],5,FALSE),0)</f>
        <v>1076635.02</v>
      </c>
      <c r="J27" s="23">
        <f>IFERROR(VLOOKUP(Tabla5[[#This Row],[DETALLE]],[1]!P3EJECUCION[#All],6,FALSE),0)</f>
        <v>906239.6</v>
      </c>
      <c r="K27" s="23">
        <f>IFERROR(VLOOKUP(Tabla5[[#This Row],[DETALLE]],[1]!P3EJECUCION[#All],7,FALSE),0)</f>
        <v>83573.5</v>
      </c>
      <c r="L27" s="23">
        <f>IFERROR(VLOOKUP(Tabla5[[#This Row],[DETALLE]],[1]!P3EJECUCION[#All],8,FALSE),0)</f>
        <v>2024407.17</v>
      </c>
      <c r="M27" s="23">
        <f>IFERROR(VLOOKUP(Tabla5[[#This Row],[DETALLE]],[1]!P3EJECUCION[#All],9,FALSE),0)</f>
        <v>232377.4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3035200.64</v>
      </c>
      <c r="Q27" s="23">
        <f>IFERROR(VLOOKUP(Tabla5[[#This Row],[DETALLE]],[1]!P3EJECUCION[#Data],13,FALSE),0)</f>
        <v>0</v>
      </c>
      <c r="R27" s="24">
        <f>SUM(Tabla5[[#This Row],[Enero ]:[Diciembre]])</f>
        <v>9066098.9500000011</v>
      </c>
    </row>
    <row r="28" spans="3:18" ht="15.75" x14ac:dyDescent="0.25">
      <c r="C28" s="20" t="s">
        <v>37</v>
      </c>
      <c r="D28" s="21">
        <f>D29+D30+D31+D32+D33+D34+D35+D36+D37</f>
        <v>20849157</v>
      </c>
      <c r="E28" s="21">
        <f t="shared" ref="E28:R28" si="3">E29+E30+E31+E32+E33+E34+E35+E36+E37</f>
        <v>34108057</v>
      </c>
      <c r="F28" s="21">
        <f t="shared" si="3"/>
        <v>600000</v>
      </c>
      <c r="G28" s="21">
        <f t="shared" si="3"/>
        <v>903820.51</v>
      </c>
      <c r="H28" s="21">
        <f>H29+H30+H31+H32+H33+H34+H35+H36+H37</f>
        <v>1200386.5</v>
      </c>
      <c r="I28" s="21">
        <f t="shared" si="3"/>
        <v>775876.69</v>
      </c>
      <c r="J28" s="21">
        <f t="shared" si="3"/>
        <v>2254612.5299999998</v>
      </c>
      <c r="K28" s="21">
        <f t="shared" si="3"/>
        <v>1738425.1500000001</v>
      </c>
      <c r="L28" s="21">
        <f t="shared" si="3"/>
        <v>2228470.25</v>
      </c>
      <c r="M28" s="21">
        <f t="shared" si="3"/>
        <v>1261826.77</v>
      </c>
      <c r="N28" s="21">
        <f t="shared" si="3"/>
        <v>1374823.81</v>
      </c>
      <c r="O28" s="21">
        <f t="shared" si="3"/>
        <v>1617134.8</v>
      </c>
      <c r="P28" s="21">
        <f t="shared" si="3"/>
        <v>3030901.76</v>
      </c>
      <c r="Q28" s="21">
        <f t="shared" si="3"/>
        <v>0</v>
      </c>
      <c r="R28" s="21">
        <f t="shared" si="3"/>
        <v>16986278.770000003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1770980</v>
      </c>
      <c r="E29" s="23">
        <f>IFERROR(VLOOKUP(Tabla5[[#This Row],[DETALLE]],[1]!P1PRESUPUESTO[#Data],3,FALSE),0)</f>
        <v>1721480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129058.38</v>
      </c>
      <c r="H29" s="23">
        <f>IFERROR(VLOOKUP(Tabla5[[#This Row],[DETALLE]],[1]!P3EJECUCION[#All],4,FALSE),0)</f>
        <v>222702.01</v>
      </c>
      <c r="I29" s="23">
        <f>IFERROR(VLOOKUP(Tabla5[[#This Row],[DETALLE]],[1]!P3EJECUCION[#All],5,FALSE),0)</f>
        <v>25312</v>
      </c>
      <c r="J29" s="23">
        <f>IFERROR(VLOOKUP(Tabla5[[#This Row],[DETALLE]],[1]!P3EJECUCION[#All],6,FALSE),0)</f>
        <v>4896</v>
      </c>
      <c r="K29" s="23">
        <f>IFERROR(VLOOKUP(Tabla5[[#This Row],[DETALLE]],[1]!P3EJECUCION[#All],7,FALSE),0)</f>
        <v>118950.39999999999</v>
      </c>
      <c r="L29" s="23">
        <f>IFERROR(VLOOKUP(Tabla5[[#This Row],[DETALLE]],[1]!P3EJECUCION[#All],8,FALSE),0)</f>
        <v>167587</v>
      </c>
      <c r="M29" s="23">
        <f>IFERROR(VLOOKUP(Tabla5[[#This Row],[DETALLE]],[1]!P3EJECUCION[#All],9,FALSE),0)</f>
        <v>107019.01</v>
      </c>
      <c r="N29" s="23">
        <f>IFERROR(VLOOKUP(Tabla5[[#This Row],[DETALLE]],[1]!P3EJECUCION[#Data],10,FALSE),0)</f>
        <v>81103.81</v>
      </c>
      <c r="O29" s="23">
        <f>IFERROR(VLOOKUP(Tabla5[[#This Row],[DETALLE]],[1]!P3EJECUCION[#Data],11,FALSE),0)</f>
        <v>39589.599999999999</v>
      </c>
      <c r="P29" s="23">
        <f>IFERROR(VLOOKUP(Tabla5[[#This Row],[DETALLE]],[1]!P3EJECUCION[#Data],12,FALSE),0)</f>
        <v>179818.48</v>
      </c>
      <c r="Q29" s="23">
        <f>IFERROR(VLOOKUP(Tabla5[[#This Row],[DETALLE]],[1]!P3EJECUCION[#Data],13,FALSE),0)</f>
        <v>0</v>
      </c>
      <c r="R29" s="24">
        <f>SUM(Tabla5[[#This Row],[Enero ]:[Diciembre]])</f>
        <v>1076036.6900000002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705000</v>
      </c>
      <c r="E30" s="23">
        <f>IFERROR(VLOOKUP(Tabla5[[#This Row],[DETALLE]],[1]!P1PRESUPUESTO[#Data],3,FALSE),0)</f>
        <v>640500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0</v>
      </c>
      <c r="H30" s="23">
        <f>IFERROR(VLOOKUP(Tabla5[[#This Row],[DETALLE]],[1]!P3EJECUCION[#All],4,FALSE),0)</f>
        <v>0</v>
      </c>
      <c r="I30" s="23">
        <f>IFERROR(VLOOKUP(Tabla5[[#This Row],[DETALLE]],[1]!P3EJECUCION[#All],5,FALSE),0)</f>
        <v>21930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206708.26</v>
      </c>
      <c r="L30" s="23">
        <f>IFERROR(VLOOKUP(Tabla5[[#This Row],[DETALLE]],[1]!P3EJECUCION[#All],8,FALSE),0)</f>
        <v>119475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2900</v>
      </c>
      <c r="Q30" s="23">
        <f>IFERROR(VLOOKUP(Tabla5[[#This Row],[DETALLE]],[1]!P3EJECUCION[#Data],13,FALSE),0)</f>
        <v>0</v>
      </c>
      <c r="R30" s="24">
        <f>SUM(Tabla5[[#This Row],[Enero ]:[Diciembre]])</f>
        <v>351013.26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2658480</v>
      </c>
      <c r="E31" s="23">
        <f>IFERROR(VLOOKUP(Tabla5[[#This Row],[DETALLE]],[1]!P1PRESUPUESTO[#Data],3,FALSE),0)</f>
        <v>4282480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99108.2</v>
      </c>
      <c r="H31" s="23">
        <f>IFERROR(VLOOKUP(Tabla5[[#This Row],[DETALLE]],[1]!P3EJECUCION[#All],4,FALSE),0)</f>
        <v>102727.81</v>
      </c>
      <c r="I31" s="23">
        <f>IFERROR(VLOOKUP(Tabla5[[#This Row],[DETALLE]],[1]!P3EJECUCION[#All],5,FALSE),0)</f>
        <v>0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119093.94</v>
      </c>
      <c r="L31" s="23">
        <f>IFERROR(VLOOKUP(Tabla5[[#This Row],[DETALLE]],[1]!P3EJECUCION[#All],8,FALSE),0)</f>
        <v>117465.99</v>
      </c>
      <c r="M31" s="23">
        <f>IFERROR(VLOOKUP(Tabla5[[#This Row],[DETALLE]],[1]!P3EJECUCION[#All],9,FALSE),0)</f>
        <v>24000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134021.17000000001</v>
      </c>
      <c r="P31" s="23">
        <f>IFERROR(VLOOKUP(Tabla5[[#This Row],[DETALLE]],[1]!P3EJECUCION[#Data],12,FALSE),0)</f>
        <v>1695787.92</v>
      </c>
      <c r="Q31" s="23">
        <f>IFERROR(VLOOKUP(Tabla5[[#This Row],[DETALLE]],[1]!P3EJECUCION[#Data],13,FALSE),0)</f>
        <v>0</v>
      </c>
      <c r="R31" s="24">
        <f>SUM(Tabla5[[#This Row],[Enero ]:[Diciembre]])</f>
        <v>2292205.0299999998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0</v>
      </c>
      <c r="E32" s="23">
        <f>IFERROR(VLOOKUP(Tabla5[[#This Row],[DETALLE]],[1]!P1PRESUPUESTO[#Data],3,FALSE),0)</f>
        <v>90000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0</v>
      </c>
      <c r="J32" s="23">
        <f>IFERROR(VLOOKUP(Tabla5[[#This Row],[DETALLE]],[1]!P3EJECUCION[#All],6,FALSE),0)</f>
        <v>24880.67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1593</v>
      </c>
      <c r="M32" s="23">
        <f>IFERROR(VLOOKUP(Tabla5[[#This Row],[DETALLE]],[1]!P3EJECUCION[#All],9,FALSE),0)</f>
        <v>22899.25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12197.45</v>
      </c>
      <c r="Q32" s="23">
        <f>IFERROR(VLOOKUP(Tabla5[[#This Row],[DETALLE]],[1]!P3EJECUCION[#Data],13,FALSE),0)</f>
        <v>0</v>
      </c>
      <c r="R32" s="24">
        <f>SUM(Tabla5[[#This Row],[Enero ]:[Diciembre]])</f>
        <v>61570.369999999995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100000</v>
      </c>
      <c r="E33" s="23">
        <f>IFERROR(VLOOKUP(Tabla5[[#This Row],[DETALLE]],[1]!P1PRESUPUESTO[#Data],3,FALSE),0)</f>
        <v>220000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2891.01</v>
      </c>
      <c r="I33" s="23">
        <f>IFERROR(VLOOKUP(Tabla5[[#This Row],[DETALLE]],[1]!P3EJECUCION[#All],5,FALSE),0)</f>
        <v>25974.69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1250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30115.699999999997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188200</v>
      </c>
      <c r="E34" s="23">
        <f>IFERROR(VLOOKUP(Tabla5[[#This Row],[DETALLE]],[1]!P1PRESUPUESTO[#Data],3,FALSE),0)</f>
        <v>188200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14870.17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3911</v>
      </c>
      <c r="L34" s="23">
        <f>IFERROR(VLOOKUP(Tabla5[[#This Row],[DETALLE]],[1]!P3EJECUCION[#All],8,FALSE),0)</f>
        <v>17847.5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2112.1999999999998</v>
      </c>
      <c r="P34" s="23">
        <f>IFERROR(VLOOKUP(Tabla5[[#This Row],[DETALLE]],[1]!P3EJECUCION[#Data],12,FALSE),0)</f>
        <v>8141.3</v>
      </c>
      <c r="Q34" s="23">
        <f>IFERROR(VLOOKUP(Tabla5[[#This Row],[DETALLE]],[1]!P3EJECUCION[#Data],13,FALSE),0)</f>
        <v>0</v>
      </c>
      <c r="R34" s="24">
        <f>SUM(Tabla5[[#This Row],[Enero ]:[Diciembre]])</f>
        <v>46882.17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12750000</v>
      </c>
      <c r="E35" s="23">
        <f>IFERROR(VLOOKUP(Tabla5[[#This Row],[DETALLE]],[1]!P1PRESUPUESTO[#Data],3,FALSE),0)</f>
        <v>12955000</v>
      </c>
      <c r="F35" s="23">
        <f>IFERROR(VLOOKUP(Tabla5[[#This Row],[DETALLE]],[1]!P3EJECUCION[#All],2,FALSE),0)</f>
        <v>600000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602296.68999999994</v>
      </c>
      <c r="I35" s="23">
        <f>IFERROR(VLOOKUP(Tabla5[[#This Row],[DETALLE]],[1]!P3EJECUCION[#All],5,FALSE),0)</f>
        <v>600000</v>
      </c>
      <c r="J35" s="23">
        <f>IFERROR(VLOOKUP(Tabla5[[#This Row],[DETALLE]],[1]!P3EJECUCION[#All],6,FALSE),0)</f>
        <v>2200435.92</v>
      </c>
      <c r="K35" s="23">
        <f>IFERROR(VLOOKUP(Tabla5[[#This Row],[DETALLE]],[1]!P3EJECUCION[#All],7,FALSE),0)</f>
        <v>1140271.32</v>
      </c>
      <c r="L35" s="23">
        <f>IFERROR(VLOOKUP(Tabla5[[#This Row],[DETALLE]],[1]!P3EJECUCION[#All],8,FALSE),0)</f>
        <v>1003334.12</v>
      </c>
      <c r="M35" s="23">
        <f>IFERROR(VLOOKUP(Tabla5[[#This Row],[DETALLE]],[1]!P3EJECUCION[#All],9,FALSE),0)</f>
        <v>1000435.94</v>
      </c>
      <c r="N35" s="23">
        <f>IFERROR(VLOOKUP(Tabla5[[#This Row],[DETALLE]],[1]!P3EJECUCION[#Data],10,FALSE),0)</f>
        <v>1293720</v>
      </c>
      <c r="O35" s="23">
        <f>IFERROR(VLOOKUP(Tabla5[[#This Row],[DETALLE]],[1]!P3EJECUCION[#Data],11,FALSE),0)</f>
        <v>1004032.06</v>
      </c>
      <c r="P35" s="23">
        <f>IFERROR(VLOOKUP(Tabla5[[#This Row],[DETALLE]],[1]!P3EJECUCION[#Data],12,FALSE),0)</f>
        <v>1015217.96</v>
      </c>
      <c r="Q35" s="23">
        <f>IFERROR(VLOOKUP(Tabla5[[#This Row],[DETALLE]],[1]!P3EJECUCION[#Data],13,FALSE),0)</f>
        <v>0</v>
      </c>
      <c r="R35" s="24">
        <f>SUM(Tabla5[[#This Row],[Enero ]:[Diciembre]])</f>
        <v>11059744.010000002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2676497</v>
      </c>
      <c r="E37" s="23">
        <f>IFERROR(VLOOKUP(Tabla5[[#This Row],[DETALLE]],[1]!P1PRESUPUESTO[#Data],3,FALSE),0)</f>
        <v>14010397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75653.929999999993</v>
      </c>
      <c r="H37" s="23">
        <f>IFERROR(VLOOKUP(Tabla5[[#This Row],[DETALLE]],[1]!P3EJECUCION[#All],4,FALSE),0)</f>
        <v>254898.81</v>
      </c>
      <c r="I37" s="23">
        <f>IFERROR(VLOOKUP(Tabla5[[#This Row],[DETALLE]],[1]!P3EJECUCION[#All],5,FALSE),0)</f>
        <v>102660</v>
      </c>
      <c r="J37" s="23">
        <f>IFERROR(VLOOKUP(Tabla5[[#This Row],[DETALLE]],[1]!P3EJECUCION[#All],6,FALSE),0)</f>
        <v>24399.94</v>
      </c>
      <c r="K37" s="23">
        <f>IFERROR(VLOOKUP(Tabla5[[#This Row],[DETALLE]],[1]!P3EJECUCION[#All],7,FALSE),0)</f>
        <v>149490.23000000001</v>
      </c>
      <c r="L37" s="23">
        <f>IFERROR(VLOOKUP(Tabla5[[#This Row],[DETALLE]],[1]!P3EJECUCION[#All],8,FALSE),0)</f>
        <v>799917.64</v>
      </c>
      <c r="M37" s="23">
        <f>IFERROR(VLOOKUP(Tabla5[[#This Row],[DETALLE]],[1]!P3EJECUCION[#All],9,FALSE),0)</f>
        <v>107472.57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437379.77</v>
      </c>
      <c r="P37" s="23">
        <f>IFERROR(VLOOKUP(Tabla5[[#This Row],[DETALLE]],[1]!P3EJECUCION[#Data],12,FALSE),0)</f>
        <v>116838.65</v>
      </c>
      <c r="Q37" s="23">
        <f>IFERROR(VLOOKUP(Tabla5[[#This Row],[DETALLE]],[1]!P3EJECUCION[#Data],13,FALSE),0)</f>
        <v>0</v>
      </c>
      <c r="R37" s="24">
        <f>SUM(Tabla5[[#This Row],[Enero ]:[Diciembre]])</f>
        <v>2068711.54</v>
      </c>
    </row>
    <row r="38" spans="3:18" ht="15.75" x14ac:dyDescent="0.25">
      <c r="C38" s="20" t="s">
        <v>47</v>
      </c>
      <c r="D38" s="21">
        <f>D39+D40+D41+D42+D43+D44+D45+D46</f>
        <v>15000000</v>
      </c>
      <c r="E38" s="21">
        <f t="shared" ref="E38:R38" si="4">E39+E40+E41+E42+E43+E44+E45+E46</f>
        <v>26100000</v>
      </c>
      <c r="F38" s="21">
        <f t="shared" si="4"/>
        <v>0</v>
      </c>
      <c r="G38" s="21">
        <f t="shared" si="4"/>
        <v>0</v>
      </c>
      <c r="H38" s="21">
        <f t="shared" si="4"/>
        <v>5544091.6100000003</v>
      </c>
      <c r="I38" s="21">
        <f t="shared" si="4"/>
        <v>830157.95</v>
      </c>
      <c r="J38" s="21">
        <f t="shared" si="4"/>
        <v>1979462.5</v>
      </c>
      <c r="K38" s="21">
        <f t="shared" si="4"/>
        <v>45791.25</v>
      </c>
      <c r="L38" s="21">
        <f t="shared" si="4"/>
        <v>201012.02</v>
      </c>
      <c r="M38" s="21">
        <f t="shared" si="4"/>
        <v>3158473.75</v>
      </c>
      <c r="N38" s="21">
        <f t="shared" si="4"/>
        <v>4204367.5</v>
      </c>
      <c r="O38" s="21">
        <f t="shared" si="4"/>
        <v>1365000</v>
      </c>
      <c r="P38" s="21">
        <f t="shared" si="4"/>
        <v>1605690.61</v>
      </c>
      <c r="Q38" s="21">
        <f t="shared" si="4"/>
        <v>0</v>
      </c>
      <c r="R38" s="21">
        <f t="shared" si="4"/>
        <v>18934047.190000001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2000000</v>
      </c>
      <c r="E39" s="23">
        <f>IFERROR(VLOOKUP(Tabla5[[#This Row],[DETALLE]],[1]!P1PRESUPUESTO[#Data],3,FALSE),0)</f>
        <v>25100000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0</v>
      </c>
      <c r="H39" s="23">
        <f>IFERROR(VLOOKUP(Tabla5[[#This Row],[DETALLE]],[1]!P3EJECUCION[#All],4,FALSE),0)</f>
        <v>4544091.6100000003</v>
      </c>
      <c r="I39" s="23">
        <f>IFERROR(VLOOKUP(Tabla5[[#This Row],[DETALLE]],[1]!P3EJECUCION[#All],5,FALSE),0)</f>
        <v>830157.95</v>
      </c>
      <c r="J39" s="23">
        <f>IFERROR(VLOOKUP(Tabla5[[#This Row],[DETALLE]],[1]!P3EJECUCION[#All],6,FALSE),0)</f>
        <v>1979462.5</v>
      </c>
      <c r="K39" s="23">
        <f>IFERROR(VLOOKUP(Tabla5[[#This Row],[DETALLE]],[1]!P3EJECUCION[#All],7,FALSE),0)</f>
        <v>45791.25</v>
      </c>
      <c r="L39" s="23">
        <f>IFERROR(VLOOKUP(Tabla5[[#This Row],[DETALLE]],[1]!P3EJECUCION[#All],8,FALSE),0)</f>
        <v>201012.02</v>
      </c>
      <c r="M39" s="23">
        <f>IFERROR(VLOOKUP(Tabla5[[#This Row],[DETALLE]],[1]!P3EJECUCION[#All],9,FALSE),0)</f>
        <v>3158473.75</v>
      </c>
      <c r="N39" s="23">
        <f>IFERROR(VLOOKUP(Tabla5[[#This Row],[DETALLE]],[1]!P3EJECUCION[#Data],10,FALSE),0)</f>
        <v>4204367.5</v>
      </c>
      <c r="O39" s="23">
        <f>IFERROR(VLOOKUP(Tabla5[[#This Row],[DETALLE]],[1]!P3EJECUCION[#Data],11,FALSE),0)</f>
        <v>1365000</v>
      </c>
      <c r="P39" s="23">
        <f>IFERROR(VLOOKUP(Tabla5[[#This Row],[DETALLE]],[1]!P3EJECUCION[#Data],12,FALSE),0)</f>
        <v>1605690.61</v>
      </c>
      <c r="Q39" s="23">
        <f>IFERROR(VLOOKUP(Tabla5[[#This Row],[DETALLE]],[1]!P3EJECUCION[#Data],13,FALSE),0)</f>
        <v>0</v>
      </c>
      <c r="R39" s="24">
        <f>SUM(Tabla5[[#This Row],[Enero ]:[Diciembre]])</f>
        <v>17934047.190000001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1000000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1000000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12000000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24640000</v>
      </c>
      <c r="F54" s="21">
        <f t="shared" si="6"/>
        <v>0</v>
      </c>
      <c r="G54" s="21">
        <f t="shared" si="6"/>
        <v>0</v>
      </c>
      <c r="H54" s="21">
        <f>H55+H56+H57+H58+H59+H60+H61+H62+H63</f>
        <v>488650</v>
      </c>
      <c r="I54" s="21">
        <f t="shared" si="6"/>
        <v>6195457.2000000002</v>
      </c>
      <c r="J54" s="21">
        <f t="shared" si="6"/>
        <v>301861.44999999995</v>
      </c>
      <c r="K54" s="21">
        <f t="shared" si="6"/>
        <v>251944.28999999998</v>
      </c>
      <c r="L54" s="21">
        <f t="shared" si="6"/>
        <v>1017813.9099999999</v>
      </c>
      <c r="M54" s="21">
        <f t="shared" si="6"/>
        <v>65450.92</v>
      </c>
      <c r="N54" s="21">
        <f t="shared" si="6"/>
        <v>140446.43</v>
      </c>
      <c r="O54" s="21">
        <f t="shared" si="6"/>
        <v>389376.4</v>
      </c>
      <c r="P54" s="21">
        <f t="shared" si="6"/>
        <v>5204370</v>
      </c>
      <c r="Q54" s="21">
        <f t="shared" si="6"/>
        <v>0</v>
      </c>
      <c r="R54" s="21">
        <f t="shared" si="6"/>
        <v>14055370.6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4195000</v>
      </c>
      <c r="E55" s="23">
        <f>IFERROR(VLOOKUP(Tabla5[[#This Row],[DETALLE]],[1]!P1PRESUPUESTO[#Data],3,FALSE),0)</f>
        <v>7843000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0</v>
      </c>
      <c r="H55" s="23">
        <f>IFERROR(VLOOKUP(Tabla5[[#This Row],[DETALLE]],[1]!P3EJECUCION[#All],4,FALSE),0)</f>
        <v>8100</v>
      </c>
      <c r="I55" s="23">
        <f>IFERROR(VLOOKUP(Tabla5[[#This Row],[DETALLE]],[1]!P3EJECUCION[#All],5,FALSE),0)</f>
        <v>156114</v>
      </c>
      <c r="J55" s="23">
        <f>IFERROR(VLOOKUP(Tabla5[[#This Row],[DETALLE]],[1]!P3EJECUCION[#All],6,FALSE),0)</f>
        <v>295136.15999999997</v>
      </c>
      <c r="K55" s="23">
        <f>IFERROR(VLOOKUP(Tabla5[[#This Row],[DETALLE]],[1]!P3EJECUCION[#All],7,FALSE),0)</f>
        <v>105066.15</v>
      </c>
      <c r="L55" s="23">
        <f>IFERROR(VLOOKUP(Tabla5[[#This Row],[DETALLE]],[1]!P3EJECUCION[#All],8,FALSE),0)</f>
        <v>760033.69</v>
      </c>
      <c r="M55" s="23">
        <f>IFERROR(VLOOKUP(Tabla5[[#This Row],[DETALLE]],[1]!P3EJECUCION[#All],9,FALSE),0)</f>
        <v>65450.92</v>
      </c>
      <c r="N55" s="23">
        <f>IFERROR(VLOOKUP(Tabla5[[#This Row],[DETALLE]],[1]!P3EJECUCION[#Data],10,FALSE),0)</f>
        <v>140446.43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1530347.3499999999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100000</v>
      </c>
      <c r="E56" s="23">
        <f>IFERROR(VLOOKUP(Tabla5[[#This Row],[DETALLE]],[1]!P1PRESUPUESTO[#Data],3,FALSE),0)</f>
        <v>375000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85550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104752.14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190302.14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15140000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6039343.2000000002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5204370</v>
      </c>
      <c r="Q58" s="23">
        <f>IFERROR(VLOOKUP(Tabla5[[#This Row],[DETALLE]],[1]!P3EJECUCION[#Data],13,FALSE),0)</f>
        <v>0</v>
      </c>
      <c r="R58" s="24">
        <f>SUM(Tabla5[[#This Row],[Enero ]:[Diciembre]])</f>
        <v>11243713.199999999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205000</v>
      </c>
      <c r="E59" s="23">
        <f>IFERROR(VLOOKUP(Tabla5[[#This Row],[DETALLE]],[1]!P1PRESUPUESTO[#Data],3,FALSE),0)</f>
        <v>872000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6725.29</v>
      </c>
      <c r="K59" s="23">
        <f>IFERROR(VLOOKUP(Tabla5[[#This Row],[DETALLE]],[1]!P3EJECUCION[#All],7,FALSE),0)</f>
        <v>40120</v>
      </c>
      <c r="L59" s="23">
        <f>IFERROR(VLOOKUP(Tabla5[[#This Row],[DETALLE]],[1]!P3EJECUCION[#All],8,FALSE),0)</f>
        <v>257780.22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389376.4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694001.91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0</v>
      </c>
      <c r="E60" s="23">
        <f>IFERROR(VLOOKUP(Tabla5[[#This Row],[DETALLE]],[1]!P1PRESUPUESTO[#Data],3,FALSE),0)</f>
        <v>10000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2006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2006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400000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395000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395000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296978631</v>
      </c>
      <c r="E85" s="28">
        <f t="shared" ref="E85:R85" si="12">E12+E18+E28+E38+E47+E54+E64+E69+E72+E76</f>
        <v>433943562.77999997</v>
      </c>
      <c r="F85" s="28">
        <f>F12+F18+F28+F38+F47+F54+F64+F69+F72+F76</f>
        <v>11149142.82</v>
      </c>
      <c r="G85" s="28">
        <f t="shared" si="12"/>
        <v>12077320.040000001</v>
      </c>
      <c r="H85" s="28">
        <f>H12+H18+H28+H38+H47+H54+H64+H69+H72+H76</f>
        <v>28676384.960000001</v>
      </c>
      <c r="I85" s="28">
        <f t="shared" si="12"/>
        <v>20456092.25</v>
      </c>
      <c r="J85" s="28">
        <f t="shared" si="12"/>
        <v>25137543.300000001</v>
      </c>
      <c r="K85" s="28">
        <f t="shared" si="12"/>
        <v>22563025.899999999</v>
      </c>
      <c r="L85" s="28">
        <f t="shared" si="12"/>
        <v>20195063.810000002</v>
      </c>
      <c r="M85" s="28">
        <f t="shared" si="12"/>
        <v>28019905.090000004</v>
      </c>
      <c r="N85" s="28">
        <f t="shared" si="12"/>
        <v>19451330.399999999</v>
      </c>
      <c r="O85" s="28">
        <f t="shared" si="12"/>
        <v>20001770.469999999</v>
      </c>
      <c r="P85" s="28">
        <f t="shared" si="12"/>
        <v>31874903.030000001</v>
      </c>
      <c r="Q85" s="28">
        <f t="shared" si="12"/>
        <v>0</v>
      </c>
      <c r="R85" s="28">
        <f t="shared" si="12"/>
        <v>239602482.07000002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2025-12-02T18:42:50Z</cp:lastPrinted>
  <dcterms:created xsi:type="dcterms:W3CDTF">2025-12-02T18:42:48Z</dcterms:created>
  <dcterms:modified xsi:type="dcterms:W3CDTF">2025-12-02T18:43:11Z</dcterms:modified>
</cp:coreProperties>
</file>