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13DE6FE6-E5BD-448A-BBC5-3EBE7D7C2B83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NOVIEMBRE" sheetId="5" r:id="rId1"/>
  </sheets>
  <definedNames>
    <definedName name="_xlnm._FilterDatabase" localSheetId="0" hidden="1">NOVIEMBRE!$A$8:$H$58</definedName>
    <definedName name="_xlnm.Print_Area" localSheetId="0">NOVIEMBRE!$A$1:$H$60</definedName>
    <definedName name="_xlnm.Print_Titles" localSheetId="0">NOVIEMBRE!$1:$8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5" l="1"/>
  <c r="H55" i="5" s="1"/>
  <c r="E27" i="5"/>
  <c r="H27" i="5" s="1"/>
  <c r="E56" i="5"/>
  <c r="H56" i="5" s="1"/>
  <c r="H15" i="5"/>
  <c r="H16" i="5"/>
  <c r="H17" i="5"/>
  <c r="H18" i="5"/>
  <c r="H19" i="5"/>
  <c r="H22" i="5"/>
  <c r="H23" i="5"/>
  <c r="H24" i="5"/>
  <c r="H25" i="5"/>
  <c r="H26" i="5"/>
  <c r="H29" i="5"/>
  <c r="H31" i="5"/>
  <c r="H32" i="5"/>
  <c r="H33" i="5"/>
  <c r="H35" i="5"/>
  <c r="H38" i="5"/>
  <c r="H41" i="5"/>
  <c r="H42" i="5"/>
  <c r="H45" i="5"/>
  <c r="H46" i="5"/>
  <c r="H48" i="5"/>
  <c r="H49" i="5"/>
  <c r="H50" i="5"/>
  <c r="H51" i="5"/>
  <c r="H52" i="5"/>
  <c r="H53" i="5"/>
  <c r="H54" i="5"/>
  <c r="E21" i="5"/>
  <c r="G21" i="5"/>
  <c r="E39" i="5"/>
  <c r="H39" i="5" s="1"/>
  <c r="G39" i="5"/>
  <c r="E37" i="5"/>
  <c r="H37" i="5" s="1"/>
  <c r="E57" i="5"/>
  <c r="H57" i="5" s="1"/>
  <c r="E36" i="5"/>
  <c r="H36" i="5" s="1"/>
  <c r="G36" i="5"/>
  <c r="E54" i="5"/>
  <c r="E49" i="5"/>
  <c r="E44" i="5"/>
  <c r="H44" i="5" s="1"/>
  <c r="E43" i="5"/>
  <c r="H43" i="5" s="1"/>
  <c r="E40" i="5"/>
  <c r="G40" i="5"/>
  <c r="E34" i="5"/>
  <c r="H34" i="5" s="1"/>
  <c r="E30" i="5"/>
  <c r="H30" i="5" s="1"/>
  <c r="E14" i="5"/>
  <c r="H14" i="5" s="1"/>
  <c r="E47" i="5"/>
  <c r="H47" i="5" s="1"/>
  <c r="H9" i="5"/>
  <c r="E25" i="5"/>
  <c r="G25" i="5"/>
  <c r="E28" i="5"/>
  <c r="G28" i="5"/>
  <c r="H28" i="5" s="1"/>
  <c r="E24" i="5"/>
  <c r="G20" i="5"/>
  <c r="H20" i="5" s="1"/>
  <c r="E13" i="5"/>
  <c r="H13" i="5" s="1"/>
  <c r="E12" i="5"/>
  <c r="H12" i="5" s="1"/>
  <c r="E11" i="5"/>
  <c r="H11" i="5" s="1"/>
  <c r="G11" i="5"/>
  <c r="H10" i="5"/>
  <c r="E58" i="5"/>
  <c r="H58" i="5" s="1"/>
  <c r="H21" i="5" l="1"/>
  <c r="H40" i="5"/>
  <c r="E59" i="5"/>
  <c r="G59" i="5"/>
  <c r="H59" i="5" l="1"/>
</calcChain>
</file>

<file path=xl/sharedStrings.xml><?xml version="1.0" encoding="utf-8"?>
<sst xmlns="http://schemas.openxmlformats.org/spreadsheetml/2006/main" count="174" uniqueCount="170">
  <si>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</si>
  <si>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</si>
  <si>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</si>
  <si>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</si>
  <si>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</si>
  <si>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</si>
  <si>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</si>
  <si>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</si>
  <si>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</si>
  <si>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</si>
  <si>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</si>
  <si>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</si>
  <si>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</si>
  <si>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</si>
  <si>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</si>
  <si>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</si>
  <si>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</si>
  <si>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</si>
  <si>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</si>
  <si>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</si>
  <si>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</si>
  <si>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</si>
  <si>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</si>
  <si>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</si>
  <si>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</si>
  <si>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</si>
  <si>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</si>
  <si>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</si>
  <si>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</si>
  <si>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</si>
  <si>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</si>
  <si>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</si>
  <si>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</si>
  <si>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</si>
  <si>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</si>
  <si>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</si>
  <si>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</si>
  <si>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</si>
  <si>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</si>
  <si>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</si>
  <si>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</si>
  <si>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</si>
  <si>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</si>
  <si>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</si>
  <si>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</si>
  <si>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CENTRO CUESTA NACIONAL, SAS</t>
  </si>
  <si>
    <t>AGUA CRYSTAL</t>
  </si>
  <si>
    <t>P/Compra botellones de agua para uso de la institucion.</t>
  </si>
  <si>
    <t>P/Compra alimentos y bebidas para uso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</si>
  <si>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</si>
  <si>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</si>
  <si>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</si>
  <si>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</si>
  <si>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</si>
  <si>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</si>
  <si>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</si>
  <si>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VARGAS SERVICIOS DE CATERING SL</t>
  </si>
  <si>
    <t>P/Servicios de catering p/actividades de la institucion.</t>
  </si>
  <si>
    <t>P/Mantenimiento vehículos de la institución.</t>
  </si>
  <si>
    <t>GAJAV SUPPLY SRL</t>
  </si>
  <si>
    <t>OC#17/2024</t>
  </si>
  <si>
    <t>CONT8510/23</t>
  </si>
  <si>
    <t>Pago adquisición Mobiliario y equipo de oficina para la institución.</t>
  </si>
  <si>
    <t>SKETCHPROM SRL</t>
  </si>
  <si>
    <t>SUMINISTROS GUIPAK SRL</t>
  </si>
  <si>
    <t>PADRON OFFICE SUPLY</t>
  </si>
  <si>
    <t>P/Compra Materiales y Suministros p/uso de la institución.</t>
  </si>
  <si>
    <t>P/Servicios seguro medico p/colaboradores de la instituicon.</t>
  </si>
  <si>
    <t>CON3393/24-E450000001559-1786</t>
  </si>
  <si>
    <t>O/C# 18/2024</t>
  </si>
  <si>
    <t>E450000006263/6667/7138</t>
  </si>
  <si>
    <t>O/C#78/23</t>
  </si>
  <si>
    <t>RAMIREZ &amp; MOJICA</t>
  </si>
  <si>
    <t>P/Compra equipo de comunicación p/uso de la institución.</t>
  </si>
  <si>
    <t>Pago alquiler equipo de oficina uso de la institución y renta salon eventos.</t>
  </si>
  <si>
    <t>O/C# 01/2024-B1500000090/91</t>
  </si>
  <si>
    <t>E450000000662</t>
  </si>
  <si>
    <t>B1500001128</t>
  </si>
  <si>
    <t>B1500148744/762</t>
  </si>
  <si>
    <t>CONT365/2024-B1500000361</t>
  </si>
  <si>
    <t>CONT.4497/24-B1500000874/875/876/877/878</t>
  </si>
  <si>
    <t>CONT-2023-B1500000434/435</t>
  </si>
  <si>
    <t>E450000051898/52223/54444/54778</t>
  </si>
  <si>
    <t>CON2268/23-B1500005832/5833</t>
  </si>
  <si>
    <t>CONBS-3045/24-B1500000038</t>
  </si>
  <si>
    <t>B1500013438/E450000000061</t>
  </si>
  <si>
    <t>O/C#83/24-B1500167233/E45000000066</t>
  </si>
  <si>
    <t>B1500054699/56715</t>
  </si>
  <si>
    <t>O/C#15/2024</t>
  </si>
  <si>
    <t>B1500001386</t>
  </si>
  <si>
    <t>O/C#58/2024</t>
  </si>
  <si>
    <t>DISLA URIBE KONCEPTO SRL</t>
  </si>
  <si>
    <t>Servicio de almuerzo a colaboradores de la institucion.</t>
  </si>
  <si>
    <t>CONTBS-8745/2024</t>
  </si>
  <si>
    <t>OFICINA DE COORDINACION PRESIDENCIAL</t>
  </si>
  <si>
    <t>CENTRO DE EXPORTACION E INVERSION DE LA REP. DOM.</t>
  </si>
  <si>
    <t>B1500000064</t>
  </si>
  <si>
    <t>Pago boletos aereos y seguros de viajes a colaboradores de la inst.</t>
  </si>
  <si>
    <t>P/Diplomado en Negocios Internacionales a  colaborador de la inst.</t>
  </si>
  <si>
    <t>10/31/2024</t>
  </si>
  <si>
    <t>AGENCIA DE VIAJES MILENA TOURD, S R L</t>
  </si>
  <si>
    <t>Compra pasajes aereo</t>
  </si>
  <si>
    <t>GRH CONSULTORES</t>
  </si>
  <si>
    <t>Servicios de capacitaciones</t>
  </si>
  <si>
    <t>B150007133</t>
  </si>
  <si>
    <t>OC NO. 109-2024</t>
  </si>
  <si>
    <t>Servicios Seguros Medicos Empleados</t>
  </si>
  <si>
    <t>E450001626/E450002088</t>
  </si>
  <si>
    <t>INVERSION TEJEDA VALERA F D., S R L</t>
  </si>
  <si>
    <t>BS13184-24</t>
  </si>
  <si>
    <t>QC 200 CONSULTORES LATINOAMERICANOS, S R L</t>
  </si>
  <si>
    <t>CS2024-108</t>
  </si>
  <si>
    <t>Contrato de capacitacion ISO 9001</t>
  </si>
  <si>
    <t>Compra Aires Acondicionados</t>
  </si>
  <si>
    <t>CENTRO SPERT STE, S R L</t>
  </si>
  <si>
    <t>B150003907</t>
  </si>
  <si>
    <t>P/Serv. internet No. 829-110-6594,0829-118-1864,  2024</t>
  </si>
  <si>
    <t xml:space="preserve">IMPRESOS TRES TINTAS </t>
  </si>
  <si>
    <t>31/10/202</t>
  </si>
  <si>
    <t>B150001309 /1322/1346</t>
  </si>
  <si>
    <t>Diferentes impresos</t>
  </si>
  <si>
    <t>ESCUELA DOMINICA DE COMUNICACIÓN ORALEDOCO</t>
  </si>
  <si>
    <t>Capacitación</t>
  </si>
  <si>
    <t>B150000316</t>
  </si>
  <si>
    <t>B150002607</t>
  </si>
  <si>
    <t>BUSHIDO, S R L</t>
  </si>
  <si>
    <t>Compras de paraguas</t>
  </si>
  <si>
    <t>B150000115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</si>
  <si>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</si>
  <si>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</si>
  <si>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</si>
  <si>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</si>
  <si>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</si>
  <si>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</si>
  <si>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30/102024</t>
  </si>
  <si>
    <t>FT-2148/2398</t>
  </si>
  <si>
    <t>ACRILARTE, EIRL</t>
  </si>
  <si>
    <t>Compra utiles varios</t>
  </si>
  <si>
    <t>OC/10/2024</t>
  </si>
  <si>
    <t>GESTION INTEGRAL DE SALUD Y EDUCACION</t>
  </si>
  <si>
    <t>3010/2024</t>
  </si>
  <si>
    <t>Transferencia sin fines de lucro</t>
  </si>
  <si>
    <t>09/30/2024</t>
  </si>
  <si>
    <t>B150205537</t>
  </si>
  <si>
    <t>B150000002</t>
  </si>
  <si>
    <t>EFIITSA EIRL</t>
  </si>
  <si>
    <t>B150002101</t>
  </si>
  <si>
    <t>B150000149</t>
  </si>
  <si>
    <t>E450002883</t>
  </si>
  <si>
    <t>ANTONIO P. HACHE</t>
  </si>
  <si>
    <t>F-B1500003858</t>
  </si>
  <si>
    <t>ASOC. DE PRODUCTORES DE CIGARROS DE LAREP.DOM.</t>
  </si>
  <si>
    <t>11/30/2024</t>
  </si>
  <si>
    <t>B-150000146</t>
  </si>
  <si>
    <t>31/11/10/-/9/2024</t>
  </si>
  <si>
    <t>3011/2024</t>
  </si>
  <si>
    <t>B1500356637/B150361947</t>
  </si>
  <si>
    <t>Compra articulos botiquin empleados</t>
  </si>
  <si>
    <t>FERPITI INDUSTRIAL, S R L</t>
  </si>
  <si>
    <t>Compra T-shirts empleados</t>
  </si>
  <si>
    <t>PLAZA LAMA</t>
  </si>
  <si>
    <t>Alimentos y Bebidas para personas</t>
  </si>
  <si>
    <t>Transferencia a inst. sin fines de lucros</t>
  </si>
  <si>
    <t>FARMA HISPANA III</t>
  </si>
  <si>
    <t>Productos electricos para mant. De edificaciones</t>
  </si>
  <si>
    <t>Patrocinio Evento</t>
  </si>
  <si>
    <t>Compra varias</t>
  </si>
  <si>
    <t>Formularios de Expotación Vuce-aduanas.</t>
  </si>
  <si>
    <t>CORRESPONDIENTE AL 30 DE NOVIEMBRE 2024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</si>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</sst>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8"/>
      <color rgb="FF000000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43" fontId="2" fillId="0" borderId="1" xfId="1" applyFont="1" applyFill="1" applyBorder="1" applyAlignment="1">
      <alignment horizontal="center"/>
    </xf>
    <xf numFmtId="14" fontId="2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14" fontId="6" fillId="0" borderId="1" xfId="1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3" fontId="6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43" fontId="2" fillId="0" borderId="1" xfId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wrapText="1"/>
    </xf>
    <xf numFmtId="43" fontId="6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6" fillId="0" borderId="1" xfId="0" applyNumberFormat="1" applyFont="1" applyBorder="1" applyAlignment="1">
      <alignment horizontal="left"/>
    </xf>
    <xf numFmtId="49" fontId="8" fillId="0" borderId="0" xfId="0" applyNumberFormat="1" applyFont="1"/>
    <xf numFmtId="43" fontId="4" fillId="0" borderId="0" xfId="0" applyNumberFormat="1" applyFont="1"/>
    <xf numFmtId="43" fontId="2" fillId="0" borderId="0" xfId="0" applyNumberFormat="1" applyFont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43" fontId="6" fillId="0" borderId="0" xfId="0" applyNumberFormat="1" applyFont="1"/>
    <xf numFmtId="43" fontId="7" fillId="0" borderId="0" xfId="0" applyNumberFormat="1" applyFont="1"/>
    <xf numFmtId="0" fontId="7" fillId="0" borderId="0" xfId="0" applyFont="1"/>
    <xf numFmtId="43" fontId="2" fillId="0" borderId="0" xfId="1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86891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89F1A2-3A59-4CC7-9D86-EBDA9CE6390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107528"/>
          <a:ext cx="3261244" cy="1008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3A51A-C9B8-437D-A772-FAE3FC26CDD9}">
  <dimension ref="A1:I65"/>
  <sheetViews>
    <sheetView tabSelected="1" zoomScale="98" zoomScaleNormal="98" workbookViewId="0">
      <pane ySplit="1" topLeftCell="A2" activePane="bottomLeft" state="frozen"/>
      <selection pane="bottomLeft" activeCell="A4" sqref="A4:H4"/>
    </sheetView>
  </sheetViews>
  <sheetFormatPr baseColWidth="10" defaultColWidth="11.5703125" defaultRowHeight="13.5" x14ac:dyDescent="0.25"/>
  <cols>
    <col min="1" max="1" width="51.140625" style="1" customWidth="1"/>
    <col min="2" max="2" width="18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169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168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ht="15" customHeight="1" x14ac:dyDescent="0.25">
      <c r="A9" s="34" t="s">
        <v>136</v>
      </c>
      <c r="B9" s="37" t="s">
        <v>99</v>
      </c>
      <c r="C9" s="37" t="s">
        <v>137</v>
      </c>
      <c r="D9" s="38" t="s">
        <v>138</v>
      </c>
      <c r="E9" s="22">
        <v>58150.400000000001</v>
      </c>
      <c r="F9" s="39">
        <v>45626</v>
      </c>
      <c r="G9" s="40">
        <v>58150.400000000001</v>
      </c>
      <c r="H9" s="40">
        <f>+E9-G9</f>
        <v>0</v>
      </c>
    </row>
    <row r="10" spans="1:9" s="21" customFormat="1" ht="15" customHeight="1" x14ac:dyDescent="0.25">
      <c r="A10" s="34" t="s">
        <v>100</v>
      </c>
      <c r="B10" s="35" t="s">
        <v>99</v>
      </c>
      <c r="C10" s="34" t="s">
        <v>101</v>
      </c>
      <c r="D10" s="41" t="s">
        <v>104</v>
      </c>
      <c r="E10" s="25">
        <v>401614</v>
      </c>
      <c r="F10" s="23" t="s">
        <v>155</v>
      </c>
      <c r="G10" s="25">
        <v>401614</v>
      </c>
      <c r="H10" s="40">
        <f t="shared" ref="H10:H57" si="0">+E10-G10</f>
        <v>0</v>
      </c>
    </row>
    <row r="11" spans="1:9" s="21" customFormat="1" ht="15" customHeight="1" x14ac:dyDescent="0.25">
      <c r="A11" s="34" t="s">
        <v>46</v>
      </c>
      <c r="B11" s="35">
        <v>45518</v>
      </c>
      <c r="C11" s="34" t="s">
        <v>47</v>
      </c>
      <c r="D11" s="34" t="s">
        <v>88</v>
      </c>
      <c r="E11" s="25">
        <f>118884.9+1639.4+2516+1632-27109.85</f>
        <v>97562.449999999983</v>
      </c>
      <c r="F11" s="23">
        <v>45626</v>
      </c>
      <c r="G11" s="25">
        <f>2516+1632</f>
        <v>4148</v>
      </c>
      <c r="H11" s="40">
        <f t="shared" si="0"/>
        <v>93414.449999999983</v>
      </c>
    </row>
    <row r="12" spans="1:9" s="21" customFormat="1" ht="15" customHeight="1" x14ac:dyDescent="0.25">
      <c r="A12" s="34" t="s">
        <v>10</v>
      </c>
      <c r="B12" s="35">
        <v>45540</v>
      </c>
      <c r="C12" s="37" t="s">
        <v>11</v>
      </c>
      <c r="D12" s="37" t="s">
        <v>70</v>
      </c>
      <c r="E12" s="22">
        <f>197133.42-24970.04</f>
        <v>172163.38</v>
      </c>
      <c r="F12" s="23">
        <v>45626</v>
      </c>
      <c r="G12" s="26">
        <v>145292.75</v>
      </c>
      <c r="H12" s="40">
        <f t="shared" si="0"/>
        <v>26870.630000000005</v>
      </c>
      <c r="I12" s="50"/>
    </row>
    <row r="13" spans="1:9" ht="15" customHeight="1" x14ac:dyDescent="0.25">
      <c r="A13" s="34" t="s">
        <v>51</v>
      </c>
      <c r="B13" s="35">
        <v>45536</v>
      </c>
      <c r="C13" s="42" t="s">
        <v>52</v>
      </c>
      <c r="D13" s="43" t="s">
        <v>69</v>
      </c>
      <c r="E13" s="24">
        <f>67912.52+63.3-1266</f>
        <v>66709.820000000007</v>
      </c>
      <c r="F13" s="23">
        <v>45596</v>
      </c>
      <c r="G13" s="36">
        <v>0</v>
      </c>
      <c r="H13" s="40">
        <f t="shared" si="0"/>
        <v>66709.820000000007</v>
      </c>
      <c r="I13" s="51"/>
    </row>
    <row r="14" spans="1:9" s="33" customFormat="1" ht="15" customHeight="1" x14ac:dyDescent="0.25">
      <c r="A14" s="29" t="s">
        <v>12</v>
      </c>
      <c r="B14" s="30" t="s">
        <v>154</v>
      </c>
      <c r="C14" s="52" t="s">
        <v>50</v>
      </c>
      <c r="D14" s="53" t="s">
        <v>167</v>
      </c>
      <c r="E14" s="26">
        <f>832000+849875+1575275-1575275+752050+731737.5</f>
        <v>3165662.5</v>
      </c>
      <c r="F14" s="32">
        <v>45626</v>
      </c>
      <c r="G14" s="36">
        <v>0</v>
      </c>
      <c r="H14" s="40">
        <f t="shared" si="0"/>
        <v>3165662.5</v>
      </c>
      <c r="I14" s="54"/>
    </row>
    <row r="15" spans="1:9" s="56" customFormat="1" ht="15" customHeight="1" x14ac:dyDescent="0.25">
      <c r="A15" s="29" t="s">
        <v>149</v>
      </c>
      <c r="B15" s="30">
        <v>45626</v>
      </c>
      <c r="C15" s="52" t="s">
        <v>164</v>
      </c>
      <c r="D15" s="53" t="s">
        <v>150</v>
      </c>
      <c r="E15" s="26">
        <v>133346</v>
      </c>
      <c r="F15" s="32">
        <v>45626</v>
      </c>
      <c r="G15" s="36"/>
      <c r="H15" s="40">
        <f t="shared" si="0"/>
        <v>133346</v>
      </c>
      <c r="I15" s="55"/>
    </row>
    <row r="16" spans="1:9" s="56" customFormat="1" ht="15" customHeight="1" x14ac:dyDescent="0.25">
      <c r="A16" s="29" t="s">
        <v>151</v>
      </c>
      <c r="B16" s="30" t="s">
        <v>152</v>
      </c>
      <c r="C16" s="52" t="s">
        <v>165</v>
      </c>
      <c r="D16" s="49" t="s">
        <v>153</v>
      </c>
      <c r="E16" s="26">
        <v>284380</v>
      </c>
      <c r="F16" s="32">
        <v>45626</v>
      </c>
      <c r="G16" s="36"/>
      <c r="H16" s="40">
        <f t="shared" si="0"/>
        <v>284380</v>
      </c>
      <c r="I16" s="55"/>
    </row>
    <row r="17" spans="1:9" ht="15" customHeight="1" x14ac:dyDescent="0.25">
      <c r="A17" s="34" t="s">
        <v>29</v>
      </c>
      <c r="B17" s="35">
        <v>45537</v>
      </c>
      <c r="C17" s="37" t="s">
        <v>30</v>
      </c>
      <c r="D17" s="42" t="s">
        <v>87</v>
      </c>
      <c r="E17" s="24">
        <v>675</v>
      </c>
      <c r="F17" s="23" t="s">
        <v>134</v>
      </c>
      <c r="G17" s="36"/>
      <c r="H17" s="40">
        <f t="shared" si="0"/>
        <v>675</v>
      </c>
    </row>
    <row r="18" spans="1:9" ht="15" customHeight="1" x14ac:dyDescent="0.25">
      <c r="A18" s="34" t="s">
        <v>13</v>
      </c>
      <c r="B18" s="35">
        <v>45596</v>
      </c>
      <c r="C18" s="37" t="s">
        <v>54</v>
      </c>
      <c r="D18" s="34" t="s">
        <v>55</v>
      </c>
      <c r="E18" s="22">
        <v>1200000</v>
      </c>
      <c r="F18" s="23" t="s">
        <v>155</v>
      </c>
      <c r="G18" s="26">
        <v>600000</v>
      </c>
      <c r="H18" s="40">
        <f t="shared" si="0"/>
        <v>600000</v>
      </c>
    </row>
    <row r="19" spans="1:9" ht="15" customHeight="1" x14ac:dyDescent="0.25">
      <c r="A19" s="34" t="s">
        <v>125</v>
      </c>
      <c r="B19" s="35">
        <v>45596</v>
      </c>
      <c r="C19" s="37" t="s">
        <v>126</v>
      </c>
      <c r="D19" s="34" t="s">
        <v>127</v>
      </c>
      <c r="E19" s="22">
        <v>367250</v>
      </c>
      <c r="F19" s="23">
        <v>45626</v>
      </c>
      <c r="G19" s="26"/>
      <c r="H19" s="40">
        <f t="shared" si="0"/>
        <v>367250</v>
      </c>
    </row>
    <row r="20" spans="1:9" ht="15" customHeight="1" x14ac:dyDescent="0.25">
      <c r="A20" s="34" t="s">
        <v>14</v>
      </c>
      <c r="B20" s="35">
        <v>45537</v>
      </c>
      <c r="C20" s="42" t="s">
        <v>27</v>
      </c>
      <c r="D20" s="34" t="s">
        <v>78</v>
      </c>
      <c r="E20" s="22">
        <v>2002</v>
      </c>
      <c r="F20" s="23">
        <v>45626</v>
      </c>
      <c r="G20" s="26">
        <f>+E20</f>
        <v>2002</v>
      </c>
      <c r="H20" s="40">
        <f t="shared" si="0"/>
        <v>0</v>
      </c>
    </row>
    <row r="21" spans="1:9" ht="15" customHeight="1" x14ac:dyDescent="0.25">
      <c r="A21" s="34" t="s">
        <v>45</v>
      </c>
      <c r="B21" s="35">
        <v>45516</v>
      </c>
      <c r="C21" s="34" t="s">
        <v>48</v>
      </c>
      <c r="D21" s="34" t="s">
        <v>143</v>
      </c>
      <c r="E21" s="22">
        <f>191400.63+60325.72+2669.28+3744.5</f>
        <v>258140.13</v>
      </c>
      <c r="F21" s="23">
        <v>45626</v>
      </c>
      <c r="G21" s="26">
        <f>3744.5+62995</f>
        <v>66739.5</v>
      </c>
      <c r="H21" s="40">
        <f t="shared" si="0"/>
        <v>191400.63</v>
      </c>
    </row>
    <row r="22" spans="1:9" ht="15" customHeight="1" x14ac:dyDescent="0.25">
      <c r="A22" s="34" t="s">
        <v>95</v>
      </c>
      <c r="B22" s="35">
        <v>45561</v>
      </c>
      <c r="C22" s="34" t="s">
        <v>98</v>
      </c>
      <c r="D22" s="34" t="s">
        <v>96</v>
      </c>
      <c r="E22" s="22">
        <v>8500</v>
      </c>
      <c r="F22" s="23">
        <v>45626</v>
      </c>
      <c r="G22" s="26">
        <v>8500</v>
      </c>
      <c r="H22" s="40">
        <f t="shared" si="0"/>
        <v>0</v>
      </c>
    </row>
    <row r="23" spans="1:9" ht="15" customHeight="1" x14ac:dyDescent="0.25">
      <c r="A23" s="34" t="s">
        <v>114</v>
      </c>
      <c r="B23" s="35">
        <v>45596</v>
      </c>
      <c r="C23" s="34" t="s">
        <v>113</v>
      </c>
      <c r="D23" s="34" t="s">
        <v>115</v>
      </c>
      <c r="E23" s="22">
        <v>59660.18</v>
      </c>
      <c r="F23" s="23">
        <v>45626</v>
      </c>
      <c r="G23" s="26"/>
      <c r="H23" s="40">
        <f t="shared" si="0"/>
        <v>59660.18</v>
      </c>
    </row>
    <row r="24" spans="1:9" ht="15" customHeight="1" x14ac:dyDescent="0.25">
      <c r="A24" s="42" t="s">
        <v>16</v>
      </c>
      <c r="B24" s="44">
        <v>45626</v>
      </c>
      <c r="C24" s="38" t="s">
        <v>116</v>
      </c>
      <c r="D24" s="42" t="s">
        <v>82</v>
      </c>
      <c r="E24" s="27">
        <f>259480.06+3776.72</f>
        <v>263256.77999999997</v>
      </c>
      <c r="F24" s="23">
        <v>45626</v>
      </c>
      <c r="G24" s="45">
        <v>259480.06</v>
      </c>
      <c r="H24" s="40">
        <f t="shared" si="0"/>
        <v>3776.7199999999721</v>
      </c>
    </row>
    <row r="25" spans="1:9" ht="15" customHeight="1" x14ac:dyDescent="0.25">
      <c r="A25" s="42" t="s">
        <v>91</v>
      </c>
      <c r="B25" s="44">
        <v>45547</v>
      </c>
      <c r="C25" s="38" t="s">
        <v>92</v>
      </c>
      <c r="D25" s="42" t="s">
        <v>93</v>
      </c>
      <c r="E25" s="27">
        <f>5027539.5+66099.54</f>
        <v>5093639.04</v>
      </c>
      <c r="F25" s="23">
        <v>45626</v>
      </c>
      <c r="G25" s="45">
        <f>795199.55+764749.56</f>
        <v>1559949.11</v>
      </c>
      <c r="H25" s="40">
        <f t="shared" si="0"/>
        <v>3533689.9299999997</v>
      </c>
    </row>
    <row r="26" spans="1:9" ht="15" customHeight="1" x14ac:dyDescent="0.25">
      <c r="A26" s="34" t="s">
        <v>42</v>
      </c>
      <c r="B26" s="35">
        <v>45536</v>
      </c>
      <c r="C26" s="42" t="s">
        <v>41</v>
      </c>
      <c r="D26" s="34" t="s">
        <v>40</v>
      </c>
      <c r="E26" s="22">
        <v>32657.45</v>
      </c>
      <c r="F26" s="23">
        <v>45626</v>
      </c>
      <c r="G26" s="26">
        <v>0</v>
      </c>
      <c r="H26" s="40">
        <f t="shared" si="0"/>
        <v>32657.45</v>
      </c>
      <c r="I26" s="51"/>
    </row>
    <row r="27" spans="1:9" ht="15" customHeight="1" x14ac:dyDescent="0.25">
      <c r="A27" s="34" t="s">
        <v>17</v>
      </c>
      <c r="B27" s="35">
        <v>45595</v>
      </c>
      <c r="C27" s="37" t="s">
        <v>18</v>
      </c>
      <c r="D27" s="42" t="s">
        <v>83</v>
      </c>
      <c r="E27" s="24">
        <f>23090.8+62111.2+3770</f>
        <v>88972</v>
      </c>
      <c r="F27" s="23">
        <v>45626</v>
      </c>
      <c r="G27" s="36">
        <v>88972</v>
      </c>
      <c r="H27" s="40">
        <f t="shared" si="0"/>
        <v>0</v>
      </c>
    </row>
    <row r="28" spans="1:9" ht="15" customHeight="1" x14ac:dyDescent="0.25">
      <c r="A28" s="34" t="s">
        <v>19</v>
      </c>
      <c r="B28" s="35">
        <v>45590</v>
      </c>
      <c r="C28" s="42" t="s">
        <v>28</v>
      </c>
      <c r="D28" s="34" t="s">
        <v>156</v>
      </c>
      <c r="E28" s="22">
        <f>337398.72+17757.83+349216.13</f>
        <v>704372.67999999993</v>
      </c>
      <c r="F28" s="23">
        <v>45626</v>
      </c>
      <c r="G28" s="26">
        <f>355156.55+349216.13</f>
        <v>704372.67999999993</v>
      </c>
      <c r="H28" s="40">
        <f t="shared" si="0"/>
        <v>0</v>
      </c>
    </row>
    <row r="29" spans="1:9" ht="15" customHeight="1" x14ac:dyDescent="0.25">
      <c r="A29" s="34" t="s">
        <v>145</v>
      </c>
      <c r="B29" s="35">
        <v>45596</v>
      </c>
      <c r="C29" s="42" t="s">
        <v>166</v>
      </c>
      <c r="D29" s="29" t="s">
        <v>144</v>
      </c>
      <c r="E29" s="22">
        <v>92889.84</v>
      </c>
      <c r="F29" s="23">
        <v>45626</v>
      </c>
      <c r="G29" s="26"/>
      <c r="H29" s="40">
        <f t="shared" si="0"/>
        <v>92889.84</v>
      </c>
    </row>
    <row r="30" spans="1:9" s="33" customFormat="1" ht="15" customHeight="1" x14ac:dyDescent="0.25">
      <c r="A30" s="29" t="s">
        <v>121</v>
      </c>
      <c r="B30" s="30">
        <v>45596</v>
      </c>
      <c r="C30" s="52" t="s">
        <v>122</v>
      </c>
      <c r="D30" s="29" t="s">
        <v>123</v>
      </c>
      <c r="E30" s="26">
        <f>12468.75+656.25</f>
        <v>13125</v>
      </c>
      <c r="F30" s="32">
        <v>45626</v>
      </c>
      <c r="G30" s="26">
        <v>13125</v>
      </c>
      <c r="H30" s="40">
        <f t="shared" si="0"/>
        <v>0</v>
      </c>
    </row>
    <row r="31" spans="1:9" ht="15" customHeight="1" x14ac:dyDescent="0.25">
      <c r="A31" s="34" t="s">
        <v>163</v>
      </c>
      <c r="B31" s="35">
        <v>45596</v>
      </c>
      <c r="C31" s="42" t="s">
        <v>157</v>
      </c>
      <c r="D31" s="29" t="s">
        <v>146</v>
      </c>
      <c r="E31" s="22">
        <v>15095.15</v>
      </c>
      <c r="F31" s="23">
        <v>45626</v>
      </c>
      <c r="G31" s="26"/>
      <c r="H31" s="40">
        <f t="shared" si="0"/>
        <v>15095.15</v>
      </c>
    </row>
    <row r="32" spans="1:9" ht="15" customHeight="1" x14ac:dyDescent="0.25">
      <c r="A32" s="34" t="s">
        <v>158</v>
      </c>
      <c r="B32" s="35">
        <v>45626</v>
      </c>
      <c r="C32" s="42" t="s">
        <v>159</v>
      </c>
      <c r="D32" s="29" t="s">
        <v>147</v>
      </c>
      <c r="E32" s="22">
        <v>69671</v>
      </c>
      <c r="F32" s="23">
        <v>45626</v>
      </c>
      <c r="G32" s="26"/>
      <c r="H32" s="40">
        <f t="shared" si="0"/>
        <v>69671</v>
      </c>
    </row>
    <row r="33" spans="1:9" ht="15" customHeight="1" x14ac:dyDescent="0.25">
      <c r="A33" s="34" t="s">
        <v>32</v>
      </c>
      <c r="B33" s="35">
        <v>45536</v>
      </c>
      <c r="C33" s="37" t="s">
        <v>35</v>
      </c>
      <c r="D33" s="35" t="s">
        <v>60</v>
      </c>
      <c r="E33" s="24">
        <v>84332.46</v>
      </c>
      <c r="F33" s="23">
        <v>45626</v>
      </c>
      <c r="G33" s="36">
        <v>0</v>
      </c>
      <c r="H33" s="40">
        <f t="shared" si="0"/>
        <v>84332.46</v>
      </c>
    </row>
    <row r="34" spans="1:9" ht="15" customHeight="1" x14ac:dyDescent="0.25">
      <c r="A34" s="34" t="s">
        <v>20</v>
      </c>
      <c r="B34" s="35">
        <v>45532</v>
      </c>
      <c r="C34" s="37" t="s">
        <v>37</v>
      </c>
      <c r="D34" s="34" t="s">
        <v>81</v>
      </c>
      <c r="E34" s="24">
        <f>28500+1500</f>
        <v>30000</v>
      </c>
      <c r="F34" s="23">
        <v>45626</v>
      </c>
      <c r="G34" s="36">
        <v>30000</v>
      </c>
      <c r="H34" s="40">
        <f t="shared" si="0"/>
        <v>0</v>
      </c>
    </row>
    <row r="35" spans="1:9" s="33" customFormat="1" ht="15" customHeight="1" x14ac:dyDescent="0.25">
      <c r="A35" s="29" t="s">
        <v>139</v>
      </c>
      <c r="B35" s="30" t="s">
        <v>140</v>
      </c>
      <c r="C35" s="29" t="s">
        <v>141</v>
      </c>
      <c r="D35" s="31" t="s">
        <v>162</v>
      </c>
      <c r="E35" s="26">
        <v>10000</v>
      </c>
      <c r="F35" s="32">
        <v>45626</v>
      </c>
      <c r="G35" s="26">
        <v>10000</v>
      </c>
      <c r="H35" s="40">
        <f t="shared" si="0"/>
        <v>0</v>
      </c>
    </row>
    <row r="36" spans="1:9" ht="15" customHeight="1" x14ac:dyDescent="0.25">
      <c r="A36" s="34" t="s">
        <v>59</v>
      </c>
      <c r="B36" s="35">
        <v>45510</v>
      </c>
      <c r="C36" s="37" t="s">
        <v>58</v>
      </c>
      <c r="D36" s="34" t="s">
        <v>84</v>
      </c>
      <c r="E36" s="24">
        <f>406649.45+3379.03+51784.3</f>
        <v>461812.78</v>
      </c>
      <c r="F36" s="23">
        <v>45626</v>
      </c>
      <c r="G36" s="36">
        <f>106384.08+51784.3</f>
        <v>158168.38</v>
      </c>
      <c r="H36" s="40">
        <f t="shared" si="0"/>
        <v>303644.40000000002</v>
      </c>
      <c r="I36" s="57"/>
    </row>
    <row r="37" spans="1:9" ht="15" customHeight="1" x14ac:dyDescent="0.25">
      <c r="A37" s="34" t="s">
        <v>102</v>
      </c>
      <c r="B37" s="35">
        <v>45595</v>
      </c>
      <c r="C37" s="37" t="s">
        <v>103</v>
      </c>
      <c r="D37" s="34" t="s">
        <v>105</v>
      </c>
      <c r="E37" s="24">
        <f>142500+7500</f>
        <v>150000</v>
      </c>
      <c r="F37" s="23">
        <v>45595</v>
      </c>
      <c r="G37" s="36">
        <v>150000</v>
      </c>
      <c r="H37" s="40">
        <f t="shared" si="0"/>
        <v>0</v>
      </c>
      <c r="I37" s="51"/>
    </row>
    <row r="38" spans="1:9" ht="15" customHeight="1" x14ac:dyDescent="0.25">
      <c r="A38" s="34" t="s">
        <v>36</v>
      </c>
      <c r="B38" s="35">
        <v>45536</v>
      </c>
      <c r="C38" s="42" t="s">
        <v>39</v>
      </c>
      <c r="D38" s="34" t="s">
        <v>61</v>
      </c>
      <c r="E38" s="22">
        <v>91186.44</v>
      </c>
      <c r="F38" s="23">
        <v>45626</v>
      </c>
      <c r="G38" s="26">
        <v>0</v>
      </c>
      <c r="H38" s="40">
        <f t="shared" si="0"/>
        <v>91186.44</v>
      </c>
    </row>
    <row r="39" spans="1:9" ht="15" customHeight="1" x14ac:dyDescent="0.25">
      <c r="A39" s="34" t="s">
        <v>21</v>
      </c>
      <c r="B39" s="35">
        <v>45596</v>
      </c>
      <c r="C39" s="46" t="s">
        <v>106</v>
      </c>
      <c r="D39" s="34" t="s">
        <v>107</v>
      </c>
      <c r="E39" s="22">
        <f>414218.46+198303.15-0.2+185499.15-50</f>
        <v>797970.56</v>
      </c>
      <c r="F39" s="23">
        <v>45626</v>
      </c>
      <c r="G39" s="22">
        <f>917.27+197386.18+404228</f>
        <v>602531.44999999995</v>
      </c>
      <c r="H39" s="40">
        <f t="shared" si="0"/>
        <v>195439.1100000001</v>
      </c>
    </row>
    <row r="40" spans="1:9" ht="15" customHeight="1" x14ac:dyDescent="0.25">
      <c r="A40" s="34" t="s">
        <v>117</v>
      </c>
      <c r="B40" s="35">
        <v>45596</v>
      </c>
      <c r="C40" s="42" t="s">
        <v>120</v>
      </c>
      <c r="D40" s="47" t="s">
        <v>119</v>
      </c>
      <c r="E40" s="22">
        <f>56387+2057.5</f>
        <v>58444.5</v>
      </c>
      <c r="F40" s="23">
        <v>45596</v>
      </c>
      <c r="G40" s="26">
        <f>38291+10266</f>
        <v>48557</v>
      </c>
      <c r="H40" s="40">
        <f t="shared" si="0"/>
        <v>9887.5</v>
      </c>
      <c r="I40" s="51"/>
    </row>
    <row r="41" spans="1:9" ht="15" customHeight="1" x14ac:dyDescent="0.25">
      <c r="A41" s="34" t="s">
        <v>108</v>
      </c>
      <c r="B41" s="35">
        <v>45596</v>
      </c>
      <c r="C41" s="48" t="s">
        <v>113</v>
      </c>
      <c r="D41" s="34" t="s">
        <v>109</v>
      </c>
      <c r="E41" s="22">
        <v>911372</v>
      </c>
      <c r="F41" s="23">
        <v>45626</v>
      </c>
      <c r="G41" s="22"/>
      <c r="H41" s="40">
        <f t="shared" si="0"/>
        <v>911372</v>
      </c>
    </row>
    <row r="42" spans="1:9" ht="15" customHeight="1" x14ac:dyDescent="0.25">
      <c r="A42" s="34" t="s">
        <v>49</v>
      </c>
      <c r="B42" s="35">
        <v>45533</v>
      </c>
      <c r="C42" s="42" t="s">
        <v>53</v>
      </c>
      <c r="D42" s="1" t="s">
        <v>86</v>
      </c>
      <c r="E42" s="22">
        <v>358153.2</v>
      </c>
      <c r="F42" s="23">
        <v>45626</v>
      </c>
      <c r="G42" s="26">
        <v>200000</v>
      </c>
      <c r="H42" s="40">
        <f t="shared" si="0"/>
        <v>158153.20000000001</v>
      </c>
    </row>
    <row r="43" spans="1:9" ht="15" customHeight="1" x14ac:dyDescent="0.25">
      <c r="A43" s="34" t="s">
        <v>22</v>
      </c>
      <c r="B43" s="35">
        <v>45504</v>
      </c>
      <c r="C43" s="34" t="s">
        <v>38</v>
      </c>
      <c r="D43" s="34" t="s">
        <v>79</v>
      </c>
      <c r="E43" s="24">
        <f>432960.74+33919.98+1500.88-34017.44</f>
        <v>434364.15999999997</v>
      </c>
      <c r="F43" s="23">
        <v>45626</v>
      </c>
      <c r="G43" s="36">
        <v>33120.800000000003</v>
      </c>
      <c r="H43" s="40">
        <f t="shared" si="0"/>
        <v>401243.36</v>
      </c>
      <c r="I43" s="51"/>
    </row>
    <row r="44" spans="1:9" ht="15" customHeight="1" x14ac:dyDescent="0.25">
      <c r="A44" s="34" t="s">
        <v>128</v>
      </c>
      <c r="B44" s="35">
        <v>45596</v>
      </c>
      <c r="C44" s="34" t="s">
        <v>129</v>
      </c>
      <c r="D44" s="34" t="s">
        <v>130</v>
      </c>
      <c r="E44" s="24">
        <f>531830.2+6169.8+273-4896.42</f>
        <v>533376.57999999996</v>
      </c>
      <c r="F44" s="23">
        <v>45626</v>
      </c>
      <c r="G44" s="36">
        <v>17545.419999999998</v>
      </c>
      <c r="H44" s="40">
        <f t="shared" si="0"/>
        <v>515831.16</v>
      </c>
    </row>
    <row r="45" spans="1:9" ht="15" customHeight="1" x14ac:dyDescent="0.25">
      <c r="A45" s="34" t="s">
        <v>94</v>
      </c>
      <c r="B45" s="35" t="s">
        <v>142</v>
      </c>
      <c r="C45" s="34" t="s">
        <v>97</v>
      </c>
      <c r="D45" s="34" t="s">
        <v>135</v>
      </c>
      <c r="E45" s="24">
        <v>293137.62</v>
      </c>
      <c r="F45" s="23">
        <v>45626</v>
      </c>
      <c r="G45" s="36"/>
      <c r="H45" s="40">
        <f t="shared" si="0"/>
        <v>293137.62</v>
      </c>
    </row>
    <row r="46" spans="1:9" ht="15" customHeight="1" x14ac:dyDescent="0.25">
      <c r="A46" s="34" t="s">
        <v>43</v>
      </c>
      <c r="B46" s="35">
        <v>45530</v>
      </c>
      <c r="C46" s="34" t="s">
        <v>44</v>
      </c>
      <c r="D46" s="34" t="s">
        <v>75</v>
      </c>
      <c r="E46" s="24">
        <v>57673.599999999999</v>
      </c>
      <c r="F46" s="23">
        <v>45595</v>
      </c>
      <c r="G46" s="36">
        <v>0</v>
      </c>
      <c r="H46" s="40">
        <f t="shared" si="0"/>
        <v>57673.599999999999</v>
      </c>
    </row>
    <row r="47" spans="1:9" ht="15" customHeight="1" x14ac:dyDescent="0.25">
      <c r="A47" s="34" t="s">
        <v>65</v>
      </c>
      <c r="B47" s="35" t="s">
        <v>118</v>
      </c>
      <c r="C47" s="34" t="s">
        <v>62</v>
      </c>
      <c r="D47" s="34" t="s">
        <v>77</v>
      </c>
      <c r="E47" s="24">
        <f>104381+82708.95-78089.81</f>
        <v>109000.14000000001</v>
      </c>
      <c r="F47" s="23">
        <v>45626</v>
      </c>
      <c r="G47" s="36">
        <v>109000.14</v>
      </c>
      <c r="H47" s="40">
        <f t="shared" si="0"/>
        <v>0</v>
      </c>
    </row>
    <row r="48" spans="1:9" ht="15" customHeight="1" x14ac:dyDescent="0.25">
      <c r="A48" s="34" t="s">
        <v>160</v>
      </c>
      <c r="B48" s="35">
        <v>45626</v>
      </c>
      <c r="C48" s="34" t="s">
        <v>161</v>
      </c>
      <c r="D48" s="49" t="s">
        <v>148</v>
      </c>
      <c r="E48" s="24">
        <v>54420</v>
      </c>
      <c r="F48" s="23">
        <v>45626</v>
      </c>
      <c r="G48" s="36"/>
      <c r="H48" s="40">
        <f t="shared" si="0"/>
        <v>54420</v>
      </c>
    </row>
    <row r="49" spans="1:9" ht="15" customHeight="1" x14ac:dyDescent="0.25">
      <c r="A49" s="42" t="s">
        <v>110</v>
      </c>
      <c r="B49" s="44">
        <v>45596</v>
      </c>
      <c r="C49" s="38" t="s">
        <v>112</v>
      </c>
      <c r="D49" s="42" t="s">
        <v>111</v>
      </c>
      <c r="E49" s="27">
        <f>866271.18+8050.85+8694.92</f>
        <v>883016.95000000007</v>
      </c>
      <c r="F49" s="23">
        <v>45626</v>
      </c>
      <c r="G49" s="45">
        <v>190000</v>
      </c>
      <c r="H49" s="40">
        <f t="shared" si="0"/>
        <v>693016.95000000007</v>
      </c>
    </row>
    <row r="50" spans="1:9" ht="15" customHeight="1" x14ac:dyDescent="0.25">
      <c r="A50" s="34" t="s">
        <v>72</v>
      </c>
      <c r="B50" s="35">
        <v>45596</v>
      </c>
      <c r="C50" s="34" t="s">
        <v>73</v>
      </c>
      <c r="D50" s="34" t="s">
        <v>124</v>
      </c>
      <c r="E50" s="24">
        <v>47410.28</v>
      </c>
      <c r="F50" s="23">
        <v>45626</v>
      </c>
      <c r="G50" s="36"/>
      <c r="H50" s="40">
        <f t="shared" si="0"/>
        <v>47410.28</v>
      </c>
    </row>
    <row r="51" spans="1:9" ht="15" customHeight="1" x14ac:dyDescent="0.25">
      <c r="A51" s="34" t="s">
        <v>131</v>
      </c>
      <c r="B51" s="35">
        <v>45596</v>
      </c>
      <c r="C51" s="34" t="s">
        <v>132</v>
      </c>
      <c r="D51" s="34" t="s">
        <v>133</v>
      </c>
      <c r="E51" s="24">
        <v>202114.79</v>
      </c>
      <c r="F51" s="23">
        <v>45626</v>
      </c>
      <c r="G51" s="36">
        <v>45076</v>
      </c>
      <c r="H51" s="40">
        <f t="shared" si="0"/>
        <v>157038.79</v>
      </c>
    </row>
    <row r="52" spans="1:9" ht="15" customHeight="1" x14ac:dyDescent="0.25">
      <c r="A52" s="34" t="s">
        <v>31</v>
      </c>
      <c r="B52" s="35">
        <v>45596</v>
      </c>
      <c r="C52" s="46" t="s">
        <v>67</v>
      </c>
      <c r="D52" s="34" t="s">
        <v>76</v>
      </c>
      <c r="E52" s="22">
        <v>12871</v>
      </c>
      <c r="F52" s="23">
        <v>45626</v>
      </c>
      <c r="G52" s="36">
        <v>12871</v>
      </c>
      <c r="H52" s="40">
        <f t="shared" si="0"/>
        <v>0</v>
      </c>
    </row>
    <row r="53" spans="1:9" ht="15" customHeight="1" x14ac:dyDescent="0.25">
      <c r="A53" s="34" t="s">
        <v>33</v>
      </c>
      <c r="B53" s="35">
        <v>45536</v>
      </c>
      <c r="C53" s="46" t="s">
        <v>34</v>
      </c>
      <c r="D53" s="34" t="s">
        <v>71</v>
      </c>
      <c r="E53" s="22">
        <v>5900</v>
      </c>
      <c r="F53" s="23">
        <v>45626</v>
      </c>
      <c r="G53" s="22">
        <v>5900</v>
      </c>
      <c r="H53" s="40">
        <f t="shared" si="0"/>
        <v>0</v>
      </c>
    </row>
    <row r="54" spans="1:9" ht="15" customHeight="1" x14ac:dyDescent="0.25">
      <c r="A54" s="34" t="s">
        <v>63</v>
      </c>
      <c r="B54" s="35">
        <v>45509</v>
      </c>
      <c r="C54" s="46" t="s">
        <v>74</v>
      </c>
      <c r="D54" s="34" t="s">
        <v>80</v>
      </c>
      <c r="E54" s="22">
        <f>1337468+823140-1673812.9</f>
        <v>486795.10000000009</v>
      </c>
      <c r="F54" s="23">
        <v>45626</v>
      </c>
      <c r="G54" s="36">
        <v>75224.98</v>
      </c>
      <c r="H54" s="40">
        <f t="shared" si="0"/>
        <v>411570.12000000011</v>
      </c>
    </row>
    <row r="55" spans="1:9" ht="15" customHeight="1" x14ac:dyDescent="0.25">
      <c r="A55" s="34" t="s">
        <v>64</v>
      </c>
      <c r="B55" s="35">
        <v>45565</v>
      </c>
      <c r="C55" s="46" t="s">
        <v>66</v>
      </c>
      <c r="D55" s="34" t="s">
        <v>89</v>
      </c>
      <c r="E55" s="22">
        <f>108727.37+4567.95+4810.94+485.98</f>
        <v>118592.23999999999</v>
      </c>
      <c r="F55" s="23">
        <v>45626</v>
      </c>
      <c r="G55" s="22">
        <v>113538.31</v>
      </c>
      <c r="H55" s="40">
        <f t="shared" si="0"/>
        <v>5053.929999999993</v>
      </c>
      <c r="I55" s="51"/>
    </row>
    <row r="56" spans="1:9" ht="15" customHeight="1" x14ac:dyDescent="0.25">
      <c r="A56" s="34" t="s">
        <v>56</v>
      </c>
      <c r="B56" s="35">
        <v>45536</v>
      </c>
      <c r="C56" s="34" t="s">
        <v>57</v>
      </c>
      <c r="D56" s="34" t="s">
        <v>90</v>
      </c>
      <c r="E56" s="24">
        <f>192313.09+11573.72-106384.08</f>
        <v>97502.73</v>
      </c>
      <c r="F56" s="23">
        <v>45626</v>
      </c>
      <c r="G56" s="36">
        <v>51861</v>
      </c>
      <c r="H56" s="40">
        <f t="shared" si="0"/>
        <v>45641.729999999996</v>
      </c>
    </row>
    <row r="57" spans="1:9" ht="15" customHeight="1" x14ac:dyDescent="0.25">
      <c r="A57" s="34" t="s">
        <v>23</v>
      </c>
      <c r="B57" s="35">
        <v>45595</v>
      </c>
      <c r="C57" s="42" t="s">
        <v>15</v>
      </c>
      <c r="D57" s="34" t="s">
        <v>68</v>
      </c>
      <c r="E57" s="24">
        <f>614582.72-32806.43-129915.18</f>
        <v>451861.10999999993</v>
      </c>
      <c r="F57" s="23" t="s">
        <v>155</v>
      </c>
      <c r="G57" s="36"/>
      <c r="H57" s="40">
        <f t="shared" si="0"/>
        <v>451861.10999999993</v>
      </c>
      <c r="I57" s="51"/>
    </row>
    <row r="58" spans="1:9" ht="15" customHeight="1" x14ac:dyDescent="0.25">
      <c r="A58" s="34" t="s">
        <v>24</v>
      </c>
      <c r="B58" s="35">
        <v>45595</v>
      </c>
      <c r="C58" s="42" t="s">
        <v>25</v>
      </c>
      <c r="D58" s="34" t="s">
        <v>85</v>
      </c>
      <c r="E58" s="22">
        <f>90363.67</f>
        <v>90363.67</v>
      </c>
      <c r="F58" s="23">
        <v>45626</v>
      </c>
      <c r="G58" s="26">
        <v>90363.67</v>
      </c>
      <c r="H58" s="22">
        <f t="shared" ref="H58" si="1">+E58-G58</f>
        <v>0</v>
      </c>
      <c r="I58" s="51"/>
    </row>
    <row r="59" spans="1:9" ht="22.9" customHeight="1" x14ac:dyDescent="0.25">
      <c r="A59" s="28" t="s">
        <v>26</v>
      </c>
      <c r="B59" s="28"/>
      <c r="C59" s="28"/>
      <c r="D59" s="28"/>
      <c r="E59" s="18">
        <f>SUM(E9:E58)</f>
        <v>19481166.710000001</v>
      </c>
      <c r="F59" s="18"/>
      <c r="G59" s="18">
        <f>SUM(G9:G58)</f>
        <v>5856103.6499999994</v>
      </c>
      <c r="H59" s="18">
        <f>SUM(H10:H58)</f>
        <v>13625063.059999995</v>
      </c>
    </row>
    <row r="60" spans="1:9" x14ac:dyDescent="0.25">
      <c r="D60" s="9"/>
      <c r="G60" s="10"/>
    </row>
    <row r="61" spans="1:9" x14ac:dyDescent="0.25">
      <c r="D61" s="9"/>
      <c r="G61" s="10"/>
    </row>
    <row r="62" spans="1:9" x14ac:dyDescent="0.25">
      <c r="G62" s="10"/>
    </row>
    <row r="63" spans="1:9" x14ac:dyDescent="0.25">
      <c r="G63" s="10"/>
    </row>
    <row r="64" spans="1:9" x14ac:dyDescent="0.25">
      <c r="C64" s="11"/>
    </row>
    <row r="65" spans="3:3" x14ac:dyDescent="0.25">
      <c r="C65" s="9"/>
    </row>
  </sheetData>
  <mergeCells count="4">
    <mergeCell ref="A3:H3"/>
    <mergeCell ref="A4:H4"/>
    <mergeCell ref="A5:H5"/>
    <mergeCell ref="A7:H7"/>
  </mergeCells>
  <phoneticPr fontId="9" type="noConversion"/>
  <printOptions horizontalCentered="1" verticalCentered="1"/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2024-12-16T14:55:07Z</cp:lastPrinted>
  <dcterms:created xsi:type="dcterms:W3CDTF">2023-02-06T15:07:28Z</dcterms:created>
  <dcterms:modified xsi:type="dcterms:W3CDTF">2024-12-16T14:55:12Z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