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PAG.WEB\AÑO 2025\JUNIO 2025\"/>
    </mc:Choice>
  </mc:AlternateContent>
  <xr:revisionPtr revIDLastSave="0" documentId="8_{60E078C8-B9F6-4CAF-A8C3-FED17B7D15A6}" xr6:coauthVersionLast="47" xr6:coauthVersionMax="47" xr10:uidLastSave="{00000000-0000-0000-0000-000000000000}"/>
  <bookViews>
    <workbookView xWindow="-120" yWindow="-120" windowWidth="29040" windowHeight="15720" xr2:uid="{EB6D831F-22F3-4AFC-BBB9-9D5125242B15}"/>
  </bookViews>
  <sheets>
    <sheet name="INVENTARIO DE B. DE CONSU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3" i="1" l="1"/>
  <c r="D272" i="1"/>
  <c r="R271" i="1"/>
  <c r="N271" i="1"/>
  <c r="L271" i="1"/>
  <c r="G271" i="1"/>
  <c r="H271" i="1" s="1"/>
  <c r="F271" i="1"/>
  <c r="E271" i="1"/>
  <c r="R270" i="1"/>
  <c r="N270" i="1"/>
  <c r="L270" i="1"/>
  <c r="F270" i="1"/>
  <c r="G270" i="1" s="1"/>
  <c r="H270" i="1" s="1"/>
  <c r="E270" i="1"/>
  <c r="N269" i="1"/>
  <c r="L269" i="1"/>
  <c r="R269" i="1" s="1"/>
  <c r="F269" i="1"/>
  <c r="E269" i="1"/>
  <c r="G269" i="1" s="1"/>
  <c r="H269" i="1" s="1"/>
  <c r="N268" i="1"/>
  <c r="L268" i="1"/>
  <c r="R268" i="1" s="1"/>
  <c r="F268" i="1"/>
  <c r="E268" i="1"/>
  <c r="G268" i="1" s="1"/>
  <c r="H268" i="1" s="1"/>
  <c r="R267" i="1"/>
  <c r="N267" i="1"/>
  <c r="L267" i="1"/>
  <c r="F267" i="1"/>
  <c r="G267" i="1" s="1"/>
  <c r="H267" i="1" s="1"/>
  <c r="E267" i="1"/>
  <c r="N266" i="1"/>
  <c r="R266" i="1" s="1"/>
  <c r="L266" i="1"/>
  <c r="F266" i="1"/>
  <c r="G266" i="1" s="1"/>
  <c r="H266" i="1" s="1"/>
  <c r="E266" i="1"/>
  <c r="N265" i="1"/>
  <c r="L265" i="1"/>
  <c r="R265" i="1" s="1"/>
  <c r="F265" i="1"/>
  <c r="E265" i="1"/>
  <c r="G265" i="1" s="1"/>
  <c r="H265" i="1" s="1"/>
  <c r="N264" i="1"/>
  <c r="L264" i="1"/>
  <c r="R264" i="1" s="1"/>
  <c r="F264" i="1"/>
  <c r="E264" i="1"/>
  <c r="G264" i="1" s="1"/>
  <c r="H264" i="1" s="1"/>
  <c r="N263" i="1"/>
  <c r="L263" i="1"/>
  <c r="R263" i="1" s="1"/>
  <c r="G263" i="1"/>
  <c r="H263" i="1" s="1"/>
  <c r="F263" i="1"/>
  <c r="E263" i="1"/>
  <c r="N262" i="1"/>
  <c r="R262" i="1" s="1"/>
  <c r="L262" i="1"/>
  <c r="G262" i="1"/>
  <c r="H262" i="1" s="1"/>
  <c r="F262" i="1"/>
  <c r="E262" i="1"/>
  <c r="N261" i="1"/>
  <c r="L261" i="1"/>
  <c r="R261" i="1" s="1"/>
  <c r="F261" i="1"/>
  <c r="E261" i="1"/>
  <c r="G261" i="1" s="1"/>
  <c r="H261" i="1" s="1"/>
  <c r="N260" i="1"/>
  <c r="L260" i="1"/>
  <c r="R260" i="1" s="1"/>
  <c r="F260" i="1"/>
  <c r="E260" i="1"/>
  <c r="G260" i="1" s="1"/>
  <c r="H260" i="1" s="1"/>
  <c r="R259" i="1"/>
  <c r="N259" i="1"/>
  <c r="L259" i="1"/>
  <c r="G259" i="1"/>
  <c r="H259" i="1" s="1"/>
  <c r="F259" i="1"/>
  <c r="E259" i="1"/>
  <c r="R258" i="1"/>
  <c r="N258" i="1"/>
  <c r="L258" i="1"/>
  <c r="F258" i="1"/>
  <c r="G258" i="1" s="1"/>
  <c r="H258" i="1" s="1"/>
  <c r="E258" i="1"/>
  <c r="N257" i="1"/>
  <c r="L257" i="1"/>
  <c r="R257" i="1" s="1"/>
  <c r="F257" i="1"/>
  <c r="E257" i="1"/>
  <c r="G257" i="1" s="1"/>
  <c r="H257" i="1" s="1"/>
  <c r="N256" i="1"/>
  <c r="L256" i="1"/>
  <c r="R256" i="1" s="1"/>
  <c r="F256" i="1"/>
  <c r="E256" i="1"/>
  <c r="G256" i="1" s="1"/>
  <c r="H256" i="1" s="1"/>
  <c r="R255" i="1"/>
  <c r="N255" i="1"/>
  <c r="L255" i="1"/>
  <c r="F255" i="1"/>
  <c r="G255" i="1" s="1"/>
  <c r="H255" i="1" s="1"/>
  <c r="E255" i="1"/>
  <c r="N254" i="1"/>
  <c r="R254" i="1" s="1"/>
  <c r="L254" i="1"/>
  <c r="F254" i="1"/>
  <c r="G254" i="1" s="1"/>
  <c r="H254" i="1" s="1"/>
  <c r="E254" i="1"/>
  <c r="N253" i="1"/>
  <c r="L253" i="1"/>
  <c r="R253" i="1" s="1"/>
  <c r="F253" i="1"/>
  <c r="E253" i="1"/>
  <c r="G253" i="1" s="1"/>
  <c r="H253" i="1" s="1"/>
  <c r="N252" i="1"/>
  <c r="L252" i="1"/>
  <c r="R252" i="1" s="1"/>
  <c r="F252" i="1"/>
  <c r="E252" i="1"/>
  <c r="G252" i="1" s="1"/>
  <c r="H252" i="1" s="1"/>
  <c r="R251" i="1"/>
  <c r="N251" i="1"/>
  <c r="L251" i="1"/>
  <c r="G251" i="1"/>
  <c r="H251" i="1" s="1"/>
  <c r="F251" i="1"/>
  <c r="E251" i="1"/>
  <c r="N250" i="1"/>
  <c r="R250" i="1" s="1"/>
  <c r="L250" i="1"/>
  <c r="G250" i="1"/>
  <c r="H250" i="1" s="1"/>
  <c r="F250" i="1"/>
  <c r="E250" i="1"/>
  <c r="N249" i="1"/>
  <c r="L249" i="1"/>
  <c r="R249" i="1" s="1"/>
  <c r="F249" i="1"/>
  <c r="E249" i="1"/>
  <c r="G249" i="1" s="1"/>
  <c r="H249" i="1" s="1"/>
  <c r="N248" i="1"/>
  <c r="L248" i="1"/>
  <c r="R248" i="1" s="1"/>
  <c r="F248" i="1"/>
  <c r="E248" i="1"/>
  <c r="G248" i="1" s="1"/>
  <c r="H248" i="1" s="1"/>
  <c r="R247" i="1"/>
  <c r="N247" i="1"/>
  <c r="L247" i="1"/>
  <c r="G247" i="1"/>
  <c r="H247" i="1" s="1"/>
  <c r="F247" i="1"/>
  <c r="E247" i="1"/>
  <c r="R246" i="1"/>
  <c r="N246" i="1"/>
  <c r="L246" i="1"/>
  <c r="F246" i="1"/>
  <c r="G246" i="1" s="1"/>
  <c r="H246" i="1" s="1"/>
  <c r="E246" i="1"/>
  <c r="N245" i="1"/>
  <c r="L245" i="1"/>
  <c r="R245" i="1" s="1"/>
  <c r="F245" i="1"/>
  <c r="E245" i="1"/>
  <c r="G245" i="1" s="1"/>
  <c r="H245" i="1" s="1"/>
  <c r="N244" i="1"/>
  <c r="L244" i="1"/>
  <c r="R244" i="1" s="1"/>
  <c r="F244" i="1"/>
  <c r="E244" i="1"/>
  <c r="G244" i="1" s="1"/>
  <c r="H244" i="1" s="1"/>
  <c r="R243" i="1"/>
  <c r="N243" i="1"/>
  <c r="L243" i="1"/>
  <c r="F243" i="1"/>
  <c r="E243" i="1"/>
  <c r="G243" i="1" s="1"/>
  <c r="H243" i="1" s="1"/>
  <c r="N242" i="1"/>
  <c r="R242" i="1" s="1"/>
  <c r="L242" i="1"/>
  <c r="F242" i="1"/>
  <c r="G242" i="1" s="1"/>
  <c r="H242" i="1" s="1"/>
  <c r="E242" i="1"/>
  <c r="N241" i="1"/>
  <c r="L241" i="1"/>
  <c r="R241" i="1" s="1"/>
  <c r="F241" i="1"/>
  <c r="E241" i="1"/>
  <c r="G241" i="1" s="1"/>
  <c r="H241" i="1" s="1"/>
  <c r="N240" i="1"/>
  <c r="L240" i="1"/>
  <c r="R240" i="1" s="1"/>
  <c r="F240" i="1"/>
  <c r="E240" i="1"/>
  <c r="G240" i="1" s="1"/>
  <c r="H240" i="1" s="1"/>
  <c r="N239" i="1"/>
  <c r="L239" i="1"/>
  <c r="R239" i="1" s="1"/>
  <c r="G239" i="1"/>
  <c r="H239" i="1" s="1"/>
  <c r="F239" i="1"/>
  <c r="E239" i="1"/>
  <c r="N238" i="1"/>
  <c r="R238" i="1" s="1"/>
  <c r="L238" i="1"/>
  <c r="G238" i="1"/>
  <c r="H238" i="1" s="1"/>
  <c r="F238" i="1"/>
  <c r="E238" i="1"/>
  <c r="N237" i="1"/>
  <c r="L237" i="1"/>
  <c r="R237" i="1" s="1"/>
  <c r="F237" i="1"/>
  <c r="E237" i="1"/>
  <c r="G237" i="1" s="1"/>
  <c r="H237" i="1" s="1"/>
  <c r="N236" i="1"/>
  <c r="L236" i="1"/>
  <c r="R236" i="1" s="1"/>
  <c r="F236" i="1"/>
  <c r="E236" i="1"/>
  <c r="G236" i="1" s="1"/>
  <c r="H236" i="1" s="1"/>
  <c r="R235" i="1"/>
  <c r="N235" i="1"/>
  <c r="L235" i="1"/>
  <c r="G235" i="1"/>
  <c r="H235" i="1" s="1"/>
  <c r="F235" i="1"/>
  <c r="E235" i="1"/>
  <c r="R234" i="1"/>
  <c r="N234" i="1"/>
  <c r="L234" i="1"/>
  <c r="F234" i="1"/>
  <c r="G234" i="1" s="1"/>
  <c r="H234" i="1" s="1"/>
  <c r="E234" i="1"/>
  <c r="N233" i="1"/>
  <c r="L233" i="1"/>
  <c r="R233" i="1" s="1"/>
  <c r="F233" i="1"/>
  <c r="E233" i="1"/>
  <c r="G233" i="1" s="1"/>
  <c r="H233" i="1" s="1"/>
  <c r="N232" i="1"/>
  <c r="L232" i="1"/>
  <c r="R232" i="1" s="1"/>
  <c r="F232" i="1"/>
  <c r="E232" i="1"/>
  <c r="G232" i="1" s="1"/>
  <c r="H232" i="1" s="1"/>
  <c r="R231" i="1"/>
  <c r="N231" i="1"/>
  <c r="L231" i="1"/>
  <c r="H231" i="1"/>
  <c r="G231" i="1"/>
  <c r="F231" i="1"/>
  <c r="E231" i="1"/>
  <c r="N230" i="1"/>
  <c r="R230" i="1" s="1"/>
  <c r="L230" i="1"/>
  <c r="F230" i="1"/>
  <c r="G230" i="1" s="1"/>
  <c r="H230" i="1" s="1"/>
  <c r="E230" i="1"/>
  <c r="N229" i="1"/>
  <c r="L229" i="1"/>
  <c r="R229" i="1" s="1"/>
  <c r="F229" i="1"/>
  <c r="E229" i="1"/>
  <c r="G229" i="1" s="1"/>
  <c r="H229" i="1" s="1"/>
  <c r="N228" i="1"/>
  <c r="L228" i="1"/>
  <c r="R228" i="1" s="1"/>
  <c r="F228" i="1"/>
  <c r="E228" i="1"/>
  <c r="G228" i="1" s="1"/>
  <c r="H228" i="1" s="1"/>
  <c r="R227" i="1"/>
  <c r="N227" i="1"/>
  <c r="L227" i="1"/>
  <c r="G227" i="1"/>
  <c r="H227" i="1" s="1"/>
  <c r="F227" i="1"/>
  <c r="E227" i="1"/>
  <c r="N226" i="1"/>
  <c r="R226" i="1" s="1"/>
  <c r="L226" i="1"/>
  <c r="G226" i="1"/>
  <c r="H226" i="1" s="1"/>
  <c r="F226" i="1"/>
  <c r="E226" i="1"/>
  <c r="N225" i="1"/>
  <c r="L225" i="1"/>
  <c r="R225" i="1" s="1"/>
  <c r="F225" i="1"/>
  <c r="E225" i="1"/>
  <c r="G225" i="1" s="1"/>
  <c r="H225" i="1" s="1"/>
  <c r="N224" i="1"/>
  <c r="L224" i="1"/>
  <c r="R224" i="1" s="1"/>
  <c r="F224" i="1"/>
  <c r="E224" i="1"/>
  <c r="G224" i="1" s="1"/>
  <c r="H224" i="1" s="1"/>
  <c r="R223" i="1"/>
  <c r="N223" i="1"/>
  <c r="L223" i="1"/>
  <c r="G223" i="1"/>
  <c r="H223" i="1" s="1"/>
  <c r="F223" i="1"/>
  <c r="E223" i="1"/>
  <c r="R222" i="1"/>
  <c r="N222" i="1"/>
  <c r="L222" i="1"/>
  <c r="F222" i="1"/>
  <c r="G222" i="1" s="1"/>
  <c r="H222" i="1" s="1"/>
  <c r="E222" i="1"/>
  <c r="N221" i="1"/>
  <c r="L221" i="1"/>
  <c r="R221" i="1" s="1"/>
  <c r="F221" i="1"/>
  <c r="E221" i="1"/>
  <c r="G221" i="1" s="1"/>
  <c r="H221" i="1" s="1"/>
  <c r="N220" i="1"/>
  <c r="L220" i="1"/>
  <c r="R220" i="1" s="1"/>
  <c r="F220" i="1"/>
  <c r="E220" i="1"/>
  <c r="G220" i="1" s="1"/>
  <c r="H220" i="1" s="1"/>
  <c r="R219" i="1"/>
  <c r="N219" i="1"/>
  <c r="L219" i="1"/>
  <c r="F219" i="1"/>
  <c r="E219" i="1"/>
  <c r="G219" i="1" s="1"/>
  <c r="H219" i="1" s="1"/>
  <c r="N218" i="1"/>
  <c r="R218" i="1" s="1"/>
  <c r="L218" i="1"/>
  <c r="F218" i="1"/>
  <c r="G218" i="1" s="1"/>
  <c r="H218" i="1" s="1"/>
  <c r="E218" i="1"/>
  <c r="N217" i="1"/>
  <c r="L217" i="1"/>
  <c r="R217" i="1" s="1"/>
  <c r="F217" i="1"/>
  <c r="E217" i="1"/>
  <c r="G217" i="1" s="1"/>
  <c r="H217" i="1" s="1"/>
  <c r="N216" i="1"/>
  <c r="L216" i="1"/>
  <c r="R216" i="1" s="1"/>
  <c r="F216" i="1"/>
  <c r="E216" i="1"/>
  <c r="G216" i="1" s="1"/>
  <c r="H216" i="1" s="1"/>
  <c r="N215" i="1"/>
  <c r="L215" i="1"/>
  <c r="R215" i="1" s="1"/>
  <c r="G215" i="1"/>
  <c r="H215" i="1" s="1"/>
  <c r="F215" i="1"/>
  <c r="E215" i="1"/>
  <c r="N214" i="1"/>
  <c r="R214" i="1" s="1"/>
  <c r="L214" i="1"/>
  <c r="G214" i="1"/>
  <c r="H214" i="1" s="1"/>
  <c r="F214" i="1"/>
  <c r="E214" i="1"/>
  <c r="N213" i="1"/>
  <c r="L213" i="1"/>
  <c r="R213" i="1" s="1"/>
  <c r="F213" i="1"/>
  <c r="E213" i="1"/>
  <c r="G213" i="1" s="1"/>
  <c r="H213" i="1" s="1"/>
  <c r="N212" i="1"/>
  <c r="L212" i="1"/>
  <c r="R212" i="1" s="1"/>
  <c r="F212" i="1"/>
  <c r="E212" i="1"/>
  <c r="G212" i="1" s="1"/>
  <c r="H212" i="1" s="1"/>
  <c r="R211" i="1"/>
  <c r="N211" i="1"/>
  <c r="L211" i="1"/>
  <c r="G211" i="1"/>
  <c r="H211" i="1" s="1"/>
  <c r="F211" i="1"/>
  <c r="E211" i="1"/>
  <c r="R210" i="1"/>
  <c r="N210" i="1"/>
  <c r="L210" i="1"/>
  <c r="F210" i="1"/>
  <c r="G210" i="1" s="1"/>
  <c r="H210" i="1" s="1"/>
  <c r="E210" i="1"/>
  <c r="N209" i="1"/>
  <c r="L209" i="1"/>
  <c r="R209" i="1" s="1"/>
  <c r="F209" i="1"/>
  <c r="E209" i="1"/>
  <c r="G209" i="1" s="1"/>
  <c r="H209" i="1" s="1"/>
  <c r="N208" i="1"/>
  <c r="L208" i="1"/>
  <c r="R208" i="1" s="1"/>
  <c r="F208" i="1"/>
  <c r="E208" i="1"/>
  <c r="G208" i="1" s="1"/>
  <c r="H208" i="1" s="1"/>
  <c r="R207" i="1"/>
  <c r="N207" i="1"/>
  <c r="L207" i="1"/>
  <c r="F207" i="1"/>
  <c r="E207" i="1"/>
  <c r="G207" i="1" s="1"/>
  <c r="H207" i="1" s="1"/>
  <c r="N206" i="1"/>
  <c r="R206" i="1" s="1"/>
  <c r="L206" i="1"/>
  <c r="F206" i="1"/>
  <c r="G206" i="1" s="1"/>
  <c r="H206" i="1" s="1"/>
  <c r="E206" i="1"/>
  <c r="N205" i="1"/>
  <c r="L205" i="1"/>
  <c r="R205" i="1" s="1"/>
  <c r="F205" i="1"/>
  <c r="E205" i="1"/>
  <c r="G205" i="1" s="1"/>
  <c r="H205" i="1" s="1"/>
  <c r="N204" i="1"/>
  <c r="L204" i="1"/>
  <c r="R204" i="1" s="1"/>
  <c r="F204" i="1"/>
  <c r="E204" i="1"/>
  <c r="G204" i="1" s="1"/>
  <c r="H204" i="1" s="1"/>
  <c r="N203" i="1"/>
  <c r="L203" i="1"/>
  <c r="R203" i="1" s="1"/>
  <c r="G203" i="1"/>
  <c r="H203" i="1" s="1"/>
  <c r="F203" i="1"/>
  <c r="E203" i="1"/>
  <c r="N202" i="1"/>
  <c r="R202" i="1" s="1"/>
  <c r="L202" i="1"/>
  <c r="G202" i="1"/>
  <c r="H202" i="1" s="1"/>
  <c r="F202" i="1"/>
  <c r="E202" i="1"/>
  <c r="N201" i="1"/>
  <c r="L201" i="1"/>
  <c r="R201" i="1" s="1"/>
  <c r="F201" i="1"/>
  <c r="E201" i="1"/>
  <c r="G201" i="1" s="1"/>
  <c r="H201" i="1" s="1"/>
  <c r="N200" i="1"/>
  <c r="L200" i="1"/>
  <c r="R200" i="1" s="1"/>
  <c r="F200" i="1"/>
  <c r="E200" i="1"/>
  <c r="G200" i="1" s="1"/>
  <c r="H200" i="1" s="1"/>
  <c r="R199" i="1"/>
  <c r="N199" i="1"/>
  <c r="L199" i="1"/>
  <c r="G199" i="1"/>
  <c r="H199" i="1" s="1"/>
  <c r="F199" i="1"/>
  <c r="E199" i="1"/>
  <c r="R198" i="1"/>
  <c r="N198" i="1"/>
  <c r="L198" i="1"/>
  <c r="F198" i="1"/>
  <c r="G198" i="1" s="1"/>
  <c r="H198" i="1" s="1"/>
  <c r="E198" i="1"/>
  <c r="N197" i="1"/>
  <c r="L197" i="1"/>
  <c r="R197" i="1" s="1"/>
  <c r="F197" i="1"/>
  <c r="E197" i="1"/>
  <c r="G197" i="1" s="1"/>
  <c r="H197" i="1" s="1"/>
  <c r="N196" i="1"/>
  <c r="L196" i="1"/>
  <c r="R196" i="1" s="1"/>
  <c r="F196" i="1"/>
  <c r="E196" i="1"/>
  <c r="G196" i="1" s="1"/>
  <c r="H196" i="1" s="1"/>
  <c r="R195" i="1"/>
  <c r="N195" i="1"/>
  <c r="L195" i="1"/>
  <c r="F195" i="1"/>
  <c r="E195" i="1"/>
  <c r="G195" i="1" s="1"/>
  <c r="H195" i="1" s="1"/>
  <c r="N194" i="1"/>
  <c r="R194" i="1" s="1"/>
  <c r="L194" i="1"/>
  <c r="F194" i="1"/>
  <c r="G194" i="1" s="1"/>
  <c r="H194" i="1" s="1"/>
  <c r="E194" i="1"/>
  <c r="N193" i="1"/>
  <c r="L193" i="1"/>
  <c r="R193" i="1" s="1"/>
  <c r="F193" i="1"/>
  <c r="E193" i="1"/>
  <c r="G193" i="1" s="1"/>
  <c r="H193" i="1" s="1"/>
  <c r="N192" i="1"/>
  <c r="L192" i="1"/>
  <c r="R192" i="1" s="1"/>
  <c r="F192" i="1"/>
  <c r="E192" i="1"/>
  <c r="G192" i="1" s="1"/>
  <c r="H192" i="1" s="1"/>
  <c r="N191" i="1"/>
  <c r="L191" i="1"/>
  <c r="R191" i="1" s="1"/>
  <c r="G191" i="1"/>
  <c r="H191" i="1" s="1"/>
  <c r="F191" i="1"/>
  <c r="E191" i="1"/>
  <c r="N190" i="1"/>
  <c r="R190" i="1" s="1"/>
  <c r="L190" i="1"/>
  <c r="G190" i="1"/>
  <c r="H190" i="1" s="1"/>
  <c r="F190" i="1"/>
  <c r="E190" i="1"/>
  <c r="N189" i="1"/>
  <c r="L189" i="1"/>
  <c r="R189" i="1" s="1"/>
  <c r="F189" i="1"/>
  <c r="E189" i="1"/>
  <c r="G189" i="1" s="1"/>
  <c r="H189" i="1" s="1"/>
  <c r="N188" i="1"/>
  <c r="L188" i="1"/>
  <c r="R188" i="1" s="1"/>
  <c r="F188" i="1"/>
  <c r="E188" i="1"/>
  <c r="G188" i="1" s="1"/>
  <c r="H188" i="1" s="1"/>
  <c r="R187" i="1"/>
  <c r="N187" i="1"/>
  <c r="L187" i="1"/>
  <c r="G187" i="1"/>
  <c r="H187" i="1" s="1"/>
  <c r="F187" i="1"/>
  <c r="E187" i="1"/>
  <c r="R186" i="1"/>
  <c r="N186" i="1"/>
  <c r="L186" i="1"/>
  <c r="F186" i="1"/>
  <c r="G186" i="1" s="1"/>
  <c r="H186" i="1" s="1"/>
  <c r="E186" i="1"/>
  <c r="N185" i="1"/>
  <c r="L185" i="1"/>
  <c r="R185" i="1" s="1"/>
  <c r="F185" i="1"/>
  <c r="G185" i="1" s="1"/>
  <c r="H185" i="1" s="1"/>
  <c r="E185" i="1"/>
  <c r="N184" i="1"/>
  <c r="L184" i="1"/>
  <c r="R184" i="1" s="1"/>
  <c r="F184" i="1"/>
  <c r="E184" i="1"/>
  <c r="G184" i="1" s="1"/>
  <c r="H184" i="1" s="1"/>
  <c r="R183" i="1"/>
  <c r="N183" i="1"/>
  <c r="L183" i="1"/>
  <c r="F183" i="1"/>
  <c r="G183" i="1" s="1"/>
  <c r="H183" i="1" s="1"/>
  <c r="E183" i="1"/>
  <c r="N182" i="1"/>
  <c r="R182" i="1" s="1"/>
  <c r="L182" i="1"/>
  <c r="F182" i="1"/>
  <c r="G182" i="1" s="1"/>
  <c r="H182" i="1" s="1"/>
  <c r="E182" i="1"/>
  <c r="N181" i="1"/>
  <c r="R181" i="1" s="1"/>
  <c r="L181" i="1"/>
  <c r="F181" i="1"/>
  <c r="E181" i="1"/>
  <c r="G181" i="1" s="1"/>
  <c r="H181" i="1" s="1"/>
  <c r="N180" i="1"/>
  <c r="L180" i="1"/>
  <c r="R180" i="1" s="1"/>
  <c r="F180" i="1"/>
  <c r="E180" i="1"/>
  <c r="G180" i="1" s="1"/>
  <c r="H180" i="1" s="1"/>
  <c r="N179" i="1"/>
  <c r="R179" i="1" s="1"/>
  <c r="L179" i="1"/>
  <c r="G179" i="1"/>
  <c r="H179" i="1" s="1"/>
  <c r="F179" i="1"/>
  <c r="E179" i="1"/>
  <c r="N178" i="1"/>
  <c r="R178" i="1" s="1"/>
  <c r="L178" i="1"/>
  <c r="G178" i="1"/>
  <c r="H178" i="1" s="1"/>
  <c r="F178" i="1"/>
  <c r="E178" i="1"/>
  <c r="N177" i="1"/>
  <c r="L177" i="1"/>
  <c r="R177" i="1" s="1"/>
  <c r="F177" i="1"/>
  <c r="E177" i="1"/>
  <c r="G177" i="1" s="1"/>
  <c r="H177" i="1" s="1"/>
  <c r="N176" i="1"/>
  <c r="L176" i="1"/>
  <c r="R176" i="1" s="1"/>
  <c r="F176" i="1"/>
  <c r="E176" i="1"/>
  <c r="G176" i="1" s="1"/>
  <c r="H176" i="1" s="1"/>
  <c r="R175" i="1"/>
  <c r="N175" i="1"/>
  <c r="L175" i="1"/>
  <c r="G175" i="1"/>
  <c r="H175" i="1" s="1"/>
  <c r="F175" i="1"/>
  <c r="E175" i="1"/>
  <c r="R174" i="1"/>
  <c r="N174" i="1"/>
  <c r="L174" i="1"/>
  <c r="F174" i="1"/>
  <c r="G174" i="1" s="1"/>
  <c r="H174" i="1" s="1"/>
  <c r="E174" i="1"/>
  <c r="N173" i="1"/>
  <c r="L173" i="1"/>
  <c r="R173" i="1" s="1"/>
  <c r="F173" i="1"/>
  <c r="G173" i="1" s="1"/>
  <c r="H173" i="1" s="1"/>
  <c r="E173" i="1"/>
  <c r="N172" i="1"/>
  <c r="L172" i="1"/>
  <c r="R172" i="1" s="1"/>
  <c r="F172" i="1"/>
  <c r="E172" i="1"/>
  <c r="G172" i="1" s="1"/>
  <c r="H172" i="1" s="1"/>
  <c r="R171" i="1"/>
  <c r="N171" i="1"/>
  <c r="L171" i="1"/>
  <c r="F171" i="1"/>
  <c r="E171" i="1"/>
  <c r="G171" i="1" s="1"/>
  <c r="H171" i="1" s="1"/>
  <c r="N170" i="1"/>
  <c r="R170" i="1" s="1"/>
  <c r="L170" i="1"/>
  <c r="F170" i="1"/>
  <c r="G170" i="1" s="1"/>
  <c r="H170" i="1" s="1"/>
  <c r="E170" i="1"/>
  <c r="N169" i="1"/>
  <c r="L169" i="1"/>
  <c r="R169" i="1" s="1"/>
  <c r="F169" i="1"/>
  <c r="E169" i="1"/>
  <c r="G169" i="1" s="1"/>
  <c r="H169" i="1" s="1"/>
  <c r="N168" i="1"/>
  <c r="L168" i="1"/>
  <c r="R168" i="1" s="1"/>
  <c r="F168" i="1"/>
  <c r="E168" i="1"/>
  <c r="G168" i="1" s="1"/>
  <c r="H168" i="1" s="1"/>
  <c r="N167" i="1"/>
  <c r="L167" i="1"/>
  <c r="R167" i="1" s="1"/>
  <c r="G167" i="1"/>
  <c r="H167" i="1" s="1"/>
  <c r="F167" i="1"/>
  <c r="E167" i="1"/>
  <c r="N166" i="1"/>
  <c r="R166" i="1" s="1"/>
  <c r="L166" i="1"/>
  <c r="G166" i="1"/>
  <c r="H166" i="1" s="1"/>
  <c r="F166" i="1"/>
  <c r="E166" i="1"/>
  <c r="N165" i="1"/>
  <c r="L165" i="1"/>
  <c r="R165" i="1" s="1"/>
  <c r="F165" i="1"/>
  <c r="E165" i="1"/>
  <c r="G165" i="1" s="1"/>
  <c r="H165" i="1" s="1"/>
  <c r="N164" i="1"/>
  <c r="L164" i="1"/>
  <c r="R164" i="1" s="1"/>
  <c r="F164" i="1"/>
  <c r="E164" i="1"/>
  <c r="G164" i="1" s="1"/>
  <c r="H164" i="1" s="1"/>
  <c r="R163" i="1"/>
  <c r="N163" i="1"/>
  <c r="L163" i="1"/>
  <c r="G163" i="1"/>
  <c r="H163" i="1" s="1"/>
  <c r="F163" i="1"/>
  <c r="E163" i="1"/>
  <c r="R162" i="1"/>
  <c r="N162" i="1"/>
  <c r="L162" i="1"/>
  <c r="F162" i="1"/>
  <c r="G162" i="1" s="1"/>
  <c r="H162" i="1" s="1"/>
  <c r="E162" i="1"/>
  <c r="N161" i="1"/>
  <c r="L161" i="1"/>
  <c r="R161" i="1" s="1"/>
  <c r="F161" i="1"/>
  <c r="E161" i="1"/>
  <c r="G161" i="1" s="1"/>
  <c r="H161" i="1" s="1"/>
  <c r="N160" i="1"/>
  <c r="L160" i="1"/>
  <c r="R160" i="1" s="1"/>
  <c r="F160" i="1"/>
  <c r="E160" i="1"/>
  <c r="G160" i="1" s="1"/>
  <c r="H160" i="1" s="1"/>
  <c r="R159" i="1"/>
  <c r="N159" i="1"/>
  <c r="L159" i="1"/>
  <c r="H159" i="1"/>
  <c r="G159" i="1"/>
  <c r="F159" i="1"/>
  <c r="E159" i="1"/>
  <c r="N158" i="1"/>
  <c r="R158" i="1" s="1"/>
  <c r="L158" i="1"/>
  <c r="F158" i="1"/>
  <c r="G158" i="1" s="1"/>
  <c r="H158" i="1" s="1"/>
  <c r="E158" i="1"/>
  <c r="N157" i="1"/>
  <c r="L157" i="1"/>
  <c r="R157" i="1" s="1"/>
  <c r="F157" i="1"/>
  <c r="E157" i="1"/>
  <c r="G157" i="1" s="1"/>
  <c r="H157" i="1" s="1"/>
  <c r="N156" i="1"/>
  <c r="L156" i="1"/>
  <c r="R156" i="1" s="1"/>
  <c r="F156" i="1"/>
  <c r="E156" i="1"/>
  <c r="G156" i="1" s="1"/>
  <c r="H156" i="1" s="1"/>
  <c r="N155" i="1"/>
  <c r="L155" i="1"/>
  <c r="R155" i="1" s="1"/>
  <c r="G155" i="1"/>
  <c r="H155" i="1" s="1"/>
  <c r="F155" i="1"/>
  <c r="E155" i="1"/>
  <c r="N154" i="1"/>
  <c r="R154" i="1" s="1"/>
  <c r="L154" i="1"/>
  <c r="G154" i="1"/>
  <c r="H154" i="1" s="1"/>
  <c r="F154" i="1"/>
  <c r="E154" i="1"/>
  <c r="N153" i="1"/>
  <c r="L153" i="1"/>
  <c r="R153" i="1" s="1"/>
  <c r="F153" i="1"/>
  <c r="E153" i="1"/>
  <c r="G153" i="1" s="1"/>
  <c r="H153" i="1" s="1"/>
  <c r="N152" i="1"/>
  <c r="L152" i="1"/>
  <c r="R152" i="1" s="1"/>
  <c r="F152" i="1"/>
  <c r="E152" i="1"/>
  <c r="G152" i="1" s="1"/>
  <c r="H152" i="1" s="1"/>
  <c r="R151" i="1"/>
  <c r="N151" i="1"/>
  <c r="L151" i="1"/>
  <c r="G151" i="1"/>
  <c r="H151" i="1" s="1"/>
  <c r="F151" i="1"/>
  <c r="E151" i="1"/>
  <c r="R150" i="1"/>
  <c r="N150" i="1"/>
  <c r="L150" i="1"/>
  <c r="F150" i="1"/>
  <c r="G150" i="1" s="1"/>
  <c r="H150" i="1" s="1"/>
  <c r="E150" i="1"/>
  <c r="N149" i="1"/>
  <c r="L149" i="1"/>
  <c r="R149" i="1" s="1"/>
  <c r="F149" i="1"/>
  <c r="E149" i="1"/>
  <c r="G149" i="1" s="1"/>
  <c r="H149" i="1" s="1"/>
  <c r="N148" i="1"/>
  <c r="L148" i="1"/>
  <c r="R148" i="1" s="1"/>
  <c r="F148" i="1"/>
  <c r="E148" i="1"/>
  <c r="G148" i="1" s="1"/>
  <c r="H148" i="1" s="1"/>
  <c r="R147" i="1"/>
  <c r="N147" i="1"/>
  <c r="L147" i="1"/>
  <c r="F147" i="1"/>
  <c r="E147" i="1"/>
  <c r="G147" i="1" s="1"/>
  <c r="H147" i="1" s="1"/>
  <c r="N146" i="1"/>
  <c r="R146" i="1" s="1"/>
  <c r="L146" i="1"/>
  <c r="F146" i="1"/>
  <c r="G146" i="1" s="1"/>
  <c r="H146" i="1" s="1"/>
  <c r="E146" i="1"/>
  <c r="N145" i="1"/>
  <c r="R145" i="1" s="1"/>
  <c r="L145" i="1"/>
  <c r="F145" i="1"/>
  <c r="E145" i="1"/>
  <c r="G145" i="1" s="1"/>
  <c r="H145" i="1" s="1"/>
  <c r="N144" i="1"/>
  <c r="L144" i="1"/>
  <c r="R144" i="1" s="1"/>
  <c r="F144" i="1"/>
  <c r="E144" i="1"/>
  <c r="G144" i="1" s="1"/>
  <c r="H144" i="1" s="1"/>
  <c r="N143" i="1"/>
  <c r="L143" i="1"/>
  <c r="R143" i="1" s="1"/>
  <c r="G143" i="1"/>
  <c r="H143" i="1" s="1"/>
  <c r="F143" i="1"/>
  <c r="E143" i="1"/>
  <c r="N142" i="1"/>
  <c r="R142" i="1" s="1"/>
  <c r="L142" i="1"/>
  <c r="G142" i="1"/>
  <c r="H142" i="1" s="1"/>
  <c r="F142" i="1"/>
  <c r="E142" i="1"/>
  <c r="N141" i="1"/>
  <c r="L141" i="1"/>
  <c r="R141" i="1" s="1"/>
  <c r="F141" i="1"/>
  <c r="E141" i="1"/>
  <c r="G141" i="1" s="1"/>
  <c r="H141" i="1" s="1"/>
  <c r="N140" i="1"/>
  <c r="L140" i="1"/>
  <c r="R140" i="1" s="1"/>
  <c r="F140" i="1"/>
  <c r="E140" i="1"/>
  <c r="G140" i="1" s="1"/>
  <c r="H140" i="1" s="1"/>
  <c r="R139" i="1"/>
  <c r="N139" i="1"/>
  <c r="L139" i="1"/>
  <c r="G139" i="1"/>
  <c r="H139" i="1" s="1"/>
  <c r="F139" i="1"/>
  <c r="E139" i="1"/>
  <c r="R138" i="1"/>
  <c r="N138" i="1"/>
  <c r="L138" i="1"/>
  <c r="F138" i="1"/>
  <c r="G138" i="1" s="1"/>
  <c r="H138" i="1" s="1"/>
  <c r="E138" i="1"/>
  <c r="N137" i="1"/>
  <c r="L137" i="1"/>
  <c r="R137" i="1" s="1"/>
  <c r="F137" i="1"/>
  <c r="E137" i="1"/>
  <c r="G137" i="1" s="1"/>
  <c r="H137" i="1" s="1"/>
  <c r="R136" i="1"/>
  <c r="N136" i="1"/>
  <c r="L136" i="1"/>
  <c r="F136" i="1"/>
  <c r="E136" i="1"/>
  <c r="G136" i="1" s="1"/>
  <c r="H136" i="1" s="1"/>
  <c r="R135" i="1"/>
  <c r="N135" i="1"/>
  <c r="L135" i="1"/>
  <c r="F135" i="1"/>
  <c r="E135" i="1"/>
  <c r="G135" i="1" s="1"/>
  <c r="H135" i="1" s="1"/>
  <c r="N134" i="1"/>
  <c r="R134" i="1" s="1"/>
  <c r="L134" i="1"/>
  <c r="F134" i="1"/>
  <c r="G134" i="1" s="1"/>
  <c r="H134" i="1" s="1"/>
  <c r="E134" i="1"/>
  <c r="N133" i="1"/>
  <c r="L133" i="1"/>
  <c r="R133" i="1" s="1"/>
  <c r="F133" i="1"/>
  <c r="E133" i="1"/>
  <c r="G133" i="1" s="1"/>
  <c r="H133" i="1" s="1"/>
  <c r="N132" i="1"/>
  <c r="L132" i="1"/>
  <c r="R132" i="1" s="1"/>
  <c r="F132" i="1"/>
  <c r="E132" i="1"/>
  <c r="G132" i="1" s="1"/>
  <c r="H132" i="1" s="1"/>
  <c r="N131" i="1"/>
  <c r="L131" i="1"/>
  <c r="R131" i="1" s="1"/>
  <c r="G131" i="1"/>
  <c r="H131" i="1" s="1"/>
  <c r="F131" i="1"/>
  <c r="E131" i="1"/>
  <c r="N130" i="1"/>
  <c r="R130" i="1" s="1"/>
  <c r="L130" i="1"/>
  <c r="G130" i="1"/>
  <c r="H130" i="1" s="1"/>
  <c r="F130" i="1"/>
  <c r="E130" i="1"/>
  <c r="N129" i="1"/>
  <c r="L129" i="1"/>
  <c r="R129" i="1" s="1"/>
  <c r="F129" i="1"/>
  <c r="E129" i="1"/>
  <c r="G129" i="1" s="1"/>
  <c r="H129" i="1" s="1"/>
  <c r="N128" i="1"/>
  <c r="L128" i="1"/>
  <c r="R128" i="1" s="1"/>
  <c r="G128" i="1"/>
  <c r="H128" i="1" s="1"/>
  <c r="F128" i="1"/>
  <c r="E128" i="1"/>
  <c r="R127" i="1"/>
  <c r="N127" i="1"/>
  <c r="L127" i="1"/>
  <c r="G127" i="1"/>
  <c r="H127" i="1" s="1"/>
  <c r="F127" i="1"/>
  <c r="E127" i="1"/>
  <c r="R126" i="1"/>
  <c r="N126" i="1"/>
  <c r="L126" i="1"/>
  <c r="F126" i="1"/>
  <c r="G126" i="1" s="1"/>
  <c r="H126" i="1" s="1"/>
  <c r="E126" i="1"/>
  <c r="N125" i="1"/>
  <c r="L125" i="1"/>
  <c r="R125" i="1" s="1"/>
  <c r="F125" i="1"/>
  <c r="E125" i="1"/>
  <c r="G125" i="1" s="1"/>
  <c r="H125" i="1" s="1"/>
  <c r="R124" i="1"/>
  <c r="N124" i="1"/>
  <c r="L124" i="1"/>
  <c r="F124" i="1"/>
  <c r="E124" i="1"/>
  <c r="G124" i="1" s="1"/>
  <c r="H124" i="1" s="1"/>
  <c r="R123" i="1"/>
  <c r="N123" i="1"/>
  <c r="L123" i="1"/>
  <c r="F123" i="1"/>
  <c r="E123" i="1"/>
  <c r="G123" i="1" s="1"/>
  <c r="H123" i="1" s="1"/>
  <c r="N122" i="1"/>
  <c r="R122" i="1" s="1"/>
  <c r="L122" i="1"/>
  <c r="F122" i="1"/>
  <c r="G122" i="1" s="1"/>
  <c r="H122" i="1" s="1"/>
  <c r="E122" i="1"/>
  <c r="N121" i="1"/>
  <c r="L121" i="1"/>
  <c r="R121" i="1" s="1"/>
  <c r="F121" i="1"/>
  <c r="E121" i="1"/>
  <c r="G121" i="1" s="1"/>
  <c r="H121" i="1" s="1"/>
  <c r="N120" i="1"/>
  <c r="L120" i="1"/>
  <c r="R120" i="1" s="1"/>
  <c r="F120" i="1"/>
  <c r="E120" i="1"/>
  <c r="G120" i="1" s="1"/>
  <c r="H120" i="1" s="1"/>
  <c r="N119" i="1"/>
  <c r="R119" i="1" s="1"/>
  <c r="L119" i="1"/>
  <c r="G119" i="1"/>
  <c r="H119" i="1" s="1"/>
  <c r="F119" i="1"/>
  <c r="E119" i="1"/>
  <c r="N118" i="1"/>
  <c r="R118" i="1" s="1"/>
  <c r="L118" i="1"/>
  <c r="G118" i="1"/>
  <c r="H118" i="1" s="1"/>
  <c r="F118" i="1"/>
  <c r="E118" i="1"/>
  <c r="N117" i="1"/>
  <c r="L117" i="1"/>
  <c r="R117" i="1" s="1"/>
  <c r="F117" i="1"/>
  <c r="E117" i="1"/>
  <c r="G117" i="1" s="1"/>
  <c r="H117" i="1" s="1"/>
  <c r="N116" i="1"/>
  <c r="L116" i="1"/>
  <c r="R116" i="1" s="1"/>
  <c r="F116" i="1"/>
  <c r="E116" i="1"/>
  <c r="G116" i="1" s="1"/>
  <c r="H116" i="1" s="1"/>
  <c r="R115" i="1"/>
  <c r="N115" i="1"/>
  <c r="L115" i="1"/>
  <c r="G115" i="1"/>
  <c r="H115" i="1" s="1"/>
  <c r="F115" i="1"/>
  <c r="E115" i="1"/>
  <c r="R114" i="1"/>
  <c r="N114" i="1"/>
  <c r="L114" i="1"/>
  <c r="F114" i="1"/>
  <c r="E114" i="1"/>
  <c r="G114" i="1" s="1"/>
  <c r="H114" i="1" s="1"/>
  <c r="N113" i="1"/>
  <c r="L113" i="1"/>
  <c r="R113" i="1" s="1"/>
  <c r="F113" i="1"/>
  <c r="E113" i="1"/>
  <c r="G113" i="1" s="1"/>
  <c r="H113" i="1" s="1"/>
  <c r="N112" i="1"/>
  <c r="L112" i="1"/>
  <c r="R112" i="1" s="1"/>
  <c r="F112" i="1"/>
  <c r="E112" i="1"/>
  <c r="G112" i="1" s="1"/>
  <c r="H112" i="1" s="1"/>
  <c r="R111" i="1"/>
  <c r="N111" i="1"/>
  <c r="L111" i="1"/>
  <c r="F111" i="1"/>
  <c r="E111" i="1"/>
  <c r="G111" i="1" s="1"/>
  <c r="H111" i="1" s="1"/>
  <c r="N110" i="1"/>
  <c r="L110" i="1"/>
  <c r="R110" i="1" s="1"/>
  <c r="F110" i="1"/>
  <c r="G110" i="1" s="1"/>
  <c r="H110" i="1" s="1"/>
  <c r="E110" i="1"/>
  <c r="N109" i="1"/>
  <c r="R109" i="1" s="1"/>
  <c r="L109" i="1"/>
  <c r="F109" i="1"/>
  <c r="E109" i="1"/>
  <c r="G109" i="1" s="1"/>
  <c r="H109" i="1" s="1"/>
  <c r="N108" i="1"/>
  <c r="L108" i="1"/>
  <c r="R108" i="1" s="1"/>
  <c r="F108" i="1"/>
  <c r="E108" i="1"/>
  <c r="G108" i="1" s="1"/>
  <c r="H108" i="1" s="1"/>
  <c r="N107" i="1"/>
  <c r="L107" i="1"/>
  <c r="R107" i="1" s="1"/>
  <c r="G107" i="1"/>
  <c r="H107" i="1" s="1"/>
  <c r="F107" i="1"/>
  <c r="E107" i="1"/>
  <c r="N106" i="1"/>
  <c r="R106" i="1" s="1"/>
  <c r="L106" i="1"/>
  <c r="G106" i="1"/>
  <c r="H106" i="1" s="1"/>
  <c r="F106" i="1"/>
  <c r="E106" i="1"/>
  <c r="N105" i="1"/>
  <c r="L105" i="1"/>
  <c r="R105" i="1" s="1"/>
  <c r="F105" i="1"/>
  <c r="E105" i="1"/>
  <c r="G105" i="1" s="1"/>
  <c r="H105" i="1" s="1"/>
  <c r="N104" i="1"/>
  <c r="L104" i="1"/>
  <c r="R104" i="1" s="1"/>
  <c r="F104" i="1"/>
  <c r="E104" i="1"/>
  <c r="G104" i="1" s="1"/>
  <c r="H104" i="1" s="1"/>
  <c r="R103" i="1"/>
  <c r="N103" i="1"/>
  <c r="L103" i="1"/>
  <c r="G103" i="1"/>
  <c r="H103" i="1" s="1"/>
  <c r="F103" i="1"/>
  <c r="E103" i="1"/>
  <c r="R102" i="1"/>
  <c r="N102" i="1"/>
  <c r="L102" i="1"/>
  <c r="F102" i="1"/>
  <c r="G102" i="1" s="1"/>
  <c r="H102" i="1" s="1"/>
  <c r="E102" i="1"/>
  <c r="N101" i="1"/>
  <c r="L101" i="1"/>
  <c r="R101" i="1" s="1"/>
  <c r="F101" i="1"/>
  <c r="E101" i="1"/>
  <c r="G101" i="1" s="1"/>
  <c r="H101" i="1" s="1"/>
  <c r="N100" i="1"/>
  <c r="L100" i="1"/>
  <c r="R100" i="1" s="1"/>
  <c r="F100" i="1"/>
  <c r="E100" i="1"/>
  <c r="G100" i="1" s="1"/>
  <c r="H100" i="1" s="1"/>
  <c r="R99" i="1"/>
  <c r="N99" i="1"/>
  <c r="L99" i="1"/>
  <c r="F99" i="1"/>
  <c r="E99" i="1"/>
  <c r="G99" i="1" s="1"/>
  <c r="H99" i="1" s="1"/>
  <c r="N98" i="1"/>
  <c r="R98" i="1" s="1"/>
  <c r="L98" i="1"/>
  <c r="F98" i="1"/>
  <c r="G98" i="1" s="1"/>
  <c r="H98" i="1" s="1"/>
  <c r="E98" i="1"/>
  <c r="N97" i="1"/>
  <c r="L97" i="1"/>
  <c r="R97" i="1" s="1"/>
  <c r="F97" i="1"/>
  <c r="E97" i="1"/>
  <c r="G97" i="1" s="1"/>
  <c r="H97" i="1" s="1"/>
  <c r="N96" i="1"/>
  <c r="L96" i="1"/>
  <c r="R96" i="1" s="1"/>
  <c r="F96" i="1"/>
  <c r="E96" i="1"/>
  <c r="G96" i="1" s="1"/>
  <c r="H96" i="1" s="1"/>
  <c r="N95" i="1"/>
  <c r="L95" i="1"/>
  <c r="R95" i="1" s="1"/>
  <c r="G95" i="1"/>
  <c r="H95" i="1" s="1"/>
  <c r="F95" i="1"/>
  <c r="E95" i="1"/>
  <c r="N94" i="1"/>
  <c r="R94" i="1" s="1"/>
  <c r="L94" i="1"/>
  <c r="G94" i="1"/>
  <c r="H94" i="1" s="1"/>
  <c r="F94" i="1"/>
  <c r="E94" i="1"/>
  <c r="N93" i="1"/>
  <c r="L93" i="1"/>
  <c r="R93" i="1" s="1"/>
  <c r="F93" i="1"/>
  <c r="E93" i="1"/>
  <c r="G93" i="1" s="1"/>
  <c r="H93" i="1" s="1"/>
  <c r="N92" i="1"/>
  <c r="L92" i="1"/>
  <c r="R92" i="1" s="1"/>
  <c r="F92" i="1"/>
  <c r="E92" i="1"/>
  <c r="G92" i="1" s="1"/>
  <c r="H92" i="1" s="1"/>
  <c r="R91" i="1"/>
  <c r="N91" i="1"/>
  <c r="L91" i="1"/>
  <c r="G91" i="1"/>
  <c r="H91" i="1" s="1"/>
  <c r="F91" i="1"/>
  <c r="E91" i="1"/>
  <c r="R90" i="1"/>
  <c r="N90" i="1"/>
  <c r="L90" i="1"/>
  <c r="F90" i="1"/>
  <c r="E90" i="1"/>
  <c r="G90" i="1" s="1"/>
  <c r="H90" i="1" s="1"/>
  <c r="E89" i="1"/>
  <c r="G89" i="1" s="1"/>
  <c r="H89" i="1" s="1"/>
  <c r="N88" i="1"/>
  <c r="L88" i="1"/>
  <c r="R88" i="1" s="1"/>
  <c r="F88" i="1"/>
  <c r="E88" i="1"/>
  <c r="G88" i="1" s="1"/>
  <c r="H88" i="1" s="1"/>
  <c r="R87" i="1"/>
  <c r="N87" i="1"/>
  <c r="L87" i="1"/>
  <c r="G87" i="1"/>
  <c r="H87" i="1" s="1"/>
  <c r="F87" i="1"/>
  <c r="E87" i="1"/>
  <c r="R86" i="1"/>
  <c r="N86" i="1"/>
  <c r="L86" i="1"/>
  <c r="F86" i="1"/>
  <c r="G86" i="1" s="1"/>
  <c r="H86" i="1" s="1"/>
  <c r="E86" i="1"/>
  <c r="N85" i="1"/>
  <c r="L85" i="1"/>
  <c r="R85" i="1" s="1"/>
  <c r="F85" i="1"/>
  <c r="E85" i="1"/>
  <c r="G85" i="1" s="1"/>
  <c r="H85" i="1" s="1"/>
  <c r="N84" i="1"/>
  <c r="L84" i="1"/>
  <c r="R84" i="1" s="1"/>
  <c r="F84" i="1"/>
  <c r="E84" i="1"/>
  <c r="G84" i="1" s="1"/>
  <c r="H84" i="1" s="1"/>
  <c r="R83" i="1"/>
  <c r="N83" i="1"/>
  <c r="L83" i="1"/>
  <c r="F83" i="1"/>
  <c r="E83" i="1"/>
  <c r="G83" i="1" s="1"/>
  <c r="H83" i="1" s="1"/>
  <c r="N82" i="1"/>
  <c r="R82" i="1" s="1"/>
  <c r="L82" i="1"/>
  <c r="F82" i="1"/>
  <c r="G82" i="1" s="1"/>
  <c r="H82" i="1" s="1"/>
  <c r="E82" i="1"/>
  <c r="N81" i="1"/>
  <c r="L81" i="1"/>
  <c r="R81" i="1" s="1"/>
  <c r="F81" i="1"/>
  <c r="E81" i="1"/>
  <c r="G81" i="1" s="1"/>
  <c r="H81" i="1" s="1"/>
  <c r="N80" i="1"/>
  <c r="L80" i="1"/>
  <c r="R80" i="1" s="1"/>
  <c r="F80" i="1"/>
  <c r="E80" i="1"/>
  <c r="G80" i="1" s="1"/>
  <c r="H80" i="1" s="1"/>
  <c r="N79" i="1"/>
  <c r="L79" i="1"/>
  <c r="R79" i="1" s="1"/>
  <c r="G79" i="1"/>
  <c r="H79" i="1" s="1"/>
  <c r="F79" i="1"/>
  <c r="E79" i="1"/>
  <c r="N78" i="1"/>
  <c r="R78" i="1" s="1"/>
  <c r="L78" i="1"/>
  <c r="G78" i="1"/>
  <c r="H78" i="1" s="1"/>
  <c r="F78" i="1"/>
  <c r="E78" i="1"/>
  <c r="N77" i="1"/>
  <c r="L77" i="1"/>
  <c r="R77" i="1" s="1"/>
  <c r="F77" i="1"/>
  <c r="E77" i="1"/>
  <c r="G77" i="1" s="1"/>
  <c r="H77" i="1" s="1"/>
  <c r="N76" i="1"/>
  <c r="L76" i="1"/>
  <c r="R76" i="1" s="1"/>
  <c r="F76" i="1"/>
  <c r="E76" i="1"/>
  <c r="G76" i="1" s="1"/>
  <c r="H76" i="1" s="1"/>
  <c r="R75" i="1"/>
  <c r="N75" i="1"/>
  <c r="L75" i="1"/>
  <c r="G75" i="1"/>
  <c r="H75" i="1" s="1"/>
  <c r="F75" i="1"/>
  <c r="E75" i="1"/>
  <c r="R74" i="1"/>
  <c r="N74" i="1"/>
  <c r="L74" i="1"/>
  <c r="F74" i="1"/>
  <c r="G74" i="1" s="1"/>
  <c r="H74" i="1" s="1"/>
  <c r="E74" i="1"/>
  <c r="N73" i="1"/>
  <c r="L73" i="1"/>
  <c r="R73" i="1" s="1"/>
  <c r="F73" i="1"/>
  <c r="E73" i="1"/>
  <c r="G73" i="1" s="1"/>
  <c r="H73" i="1" s="1"/>
  <c r="N72" i="1"/>
  <c r="L72" i="1"/>
  <c r="R72" i="1" s="1"/>
  <c r="F72" i="1"/>
  <c r="E72" i="1"/>
  <c r="G72" i="1" s="1"/>
  <c r="H72" i="1" s="1"/>
  <c r="R71" i="1"/>
  <c r="N71" i="1"/>
  <c r="L71" i="1"/>
  <c r="H71" i="1"/>
  <c r="G71" i="1"/>
  <c r="F71" i="1"/>
  <c r="E71" i="1"/>
  <c r="N70" i="1"/>
  <c r="R70" i="1" s="1"/>
  <c r="L70" i="1"/>
  <c r="F70" i="1"/>
  <c r="G70" i="1" s="1"/>
  <c r="H70" i="1" s="1"/>
  <c r="E70" i="1"/>
  <c r="N69" i="1"/>
  <c r="L69" i="1"/>
  <c r="R69" i="1" s="1"/>
  <c r="F69" i="1"/>
  <c r="E69" i="1"/>
  <c r="G69" i="1" s="1"/>
  <c r="H69" i="1" s="1"/>
  <c r="N68" i="1"/>
  <c r="L68" i="1"/>
  <c r="R68" i="1" s="1"/>
  <c r="F68" i="1"/>
  <c r="E68" i="1"/>
  <c r="G68" i="1" s="1"/>
  <c r="H68" i="1" s="1"/>
  <c r="R67" i="1"/>
  <c r="N67" i="1"/>
  <c r="L67" i="1"/>
  <c r="G67" i="1"/>
  <c r="H67" i="1" s="1"/>
  <c r="F67" i="1"/>
  <c r="E67" i="1"/>
  <c r="N66" i="1"/>
  <c r="R66" i="1" s="1"/>
  <c r="L66" i="1"/>
  <c r="G66" i="1"/>
  <c r="H66" i="1" s="1"/>
  <c r="F66" i="1"/>
  <c r="E66" i="1"/>
  <c r="N65" i="1"/>
  <c r="L65" i="1"/>
  <c r="R65" i="1" s="1"/>
  <c r="F65" i="1"/>
  <c r="E65" i="1"/>
  <c r="G65" i="1" s="1"/>
  <c r="H65" i="1" s="1"/>
  <c r="N64" i="1"/>
  <c r="L64" i="1"/>
  <c r="R64" i="1" s="1"/>
  <c r="F64" i="1"/>
  <c r="E64" i="1"/>
  <c r="G64" i="1" s="1"/>
  <c r="H64" i="1" s="1"/>
  <c r="R63" i="1"/>
  <c r="N63" i="1"/>
  <c r="L63" i="1"/>
  <c r="G63" i="1"/>
  <c r="H63" i="1" s="1"/>
  <c r="F63" i="1"/>
  <c r="E63" i="1"/>
  <c r="R62" i="1"/>
  <c r="N62" i="1"/>
  <c r="L62" i="1"/>
  <c r="F62" i="1"/>
  <c r="G62" i="1" s="1"/>
  <c r="H62" i="1" s="1"/>
  <c r="E62" i="1"/>
  <c r="N61" i="1"/>
  <c r="L61" i="1"/>
  <c r="R61" i="1" s="1"/>
  <c r="F61" i="1"/>
  <c r="E61" i="1"/>
  <c r="G61" i="1" s="1"/>
  <c r="H61" i="1" s="1"/>
  <c r="N60" i="1"/>
  <c r="L60" i="1"/>
  <c r="R60" i="1" s="1"/>
  <c r="F60" i="1"/>
  <c r="E60" i="1"/>
  <c r="G60" i="1" s="1"/>
  <c r="H60" i="1" s="1"/>
  <c r="R59" i="1"/>
  <c r="N59" i="1"/>
  <c r="L59" i="1"/>
  <c r="F59" i="1"/>
  <c r="G59" i="1" s="1"/>
  <c r="H59" i="1" s="1"/>
  <c r="E59" i="1"/>
  <c r="N58" i="1"/>
  <c r="R58" i="1" s="1"/>
  <c r="L58" i="1"/>
  <c r="F58" i="1"/>
  <c r="G58" i="1" s="1"/>
  <c r="H58" i="1" s="1"/>
  <c r="E58" i="1"/>
  <c r="N57" i="1"/>
  <c r="L57" i="1"/>
  <c r="R57" i="1" s="1"/>
  <c r="F57" i="1"/>
  <c r="E57" i="1"/>
  <c r="G57" i="1" s="1"/>
  <c r="H57" i="1" s="1"/>
  <c r="N56" i="1"/>
  <c r="L56" i="1"/>
  <c r="R56" i="1" s="1"/>
  <c r="F56" i="1"/>
  <c r="E56" i="1"/>
  <c r="G56" i="1" s="1"/>
  <c r="H56" i="1" s="1"/>
  <c r="N55" i="1"/>
  <c r="R55" i="1" s="1"/>
  <c r="L55" i="1"/>
  <c r="G55" i="1"/>
  <c r="H55" i="1" s="1"/>
  <c r="F55" i="1"/>
  <c r="E55" i="1"/>
  <c r="N54" i="1"/>
  <c r="R54" i="1" s="1"/>
  <c r="L54" i="1"/>
  <c r="G54" i="1"/>
  <c r="H54" i="1" s="1"/>
  <c r="F54" i="1"/>
  <c r="E54" i="1"/>
  <c r="N53" i="1"/>
  <c r="L53" i="1"/>
  <c r="R53" i="1" s="1"/>
  <c r="F53" i="1"/>
  <c r="E53" i="1"/>
  <c r="G53" i="1" s="1"/>
  <c r="H53" i="1" s="1"/>
  <c r="N52" i="1"/>
  <c r="L52" i="1"/>
  <c r="R52" i="1" s="1"/>
  <c r="F52" i="1"/>
  <c r="E52" i="1"/>
  <c r="G52" i="1" s="1"/>
  <c r="H52" i="1" s="1"/>
  <c r="R51" i="1"/>
  <c r="N51" i="1"/>
  <c r="L51" i="1"/>
  <c r="G51" i="1"/>
  <c r="H51" i="1" s="1"/>
  <c r="F51" i="1"/>
  <c r="E51" i="1"/>
  <c r="N50" i="1"/>
  <c r="L50" i="1"/>
  <c r="R50" i="1" s="1"/>
  <c r="F50" i="1"/>
  <c r="E50" i="1"/>
  <c r="G50" i="1" s="1"/>
  <c r="H50" i="1" s="1"/>
  <c r="N49" i="1"/>
  <c r="L49" i="1"/>
  <c r="R49" i="1" s="1"/>
  <c r="F49" i="1"/>
  <c r="E49" i="1"/>
  <c r="G49" i="1" s="1"/>
  <c r="H49" i="1" s="1"/>
  <c r="R48" i="1"/>
  <c r="N48" i="1"/>
  <c r="L48" i="1"/>
  <c r="F48" i="1"/>
  <c r="E48" i="1"/>
  <c r="G48" i="1" s="1"/>
  <c r="H48" i="1" s="1"/>
  <c r="R47" i="1"/>
  <c r="N47" i="1"/>
  <c r="L47" i="1"/>
  <c r="F47" i="1"/>
  <c r="G47" i="1" s="1"/>
  <c r="H47" i="1" s="1"/>
  <c r="E47" i="1"/>
  <c r="N46" i="1"/>
  <c r="L46" i="1"/>
  <c r="R46" i="1" s="1"/>
  <c r="F46" i="1"/>
  <c r="G46" i="1" s="1"/>
  <c r="H46" i="1" s="1"/>
  <c r="E46" i="1"/>
  <c r="N45" i="1"/>
  <c r="L45" i="1"/>
  <c r="R45" i="1" s="1"/>
  <c r="F45" i="1"/>
  <c r="E45" i="1"/>
  <c r="G45" i="1" s="1"/>
  <c r="H45" i="1" s="1"/>
  <c r="N44" i="1"/>
  <c r="L44" i="1"/>
  <c r="R44" i="1" s="1"/>
  <c r="F44" i="1"/>
  <c r="E44" i="1"/>
  <c r="G44" i="1" s="1"/>
  <c r="H44" i="1" s="1"/>
  <c r="R43" i="1"/>
  <c r="N43" i="1"/>
  <c r="L43" i="1"/>
  <c r="G43" i="1"/>
  <c r="H43" i="1" s="1"/>
  <c r="F43" i="1"/>
  <c r="E43" i="1"/>
  <c r="N42" i="1"/>
  <c r="R42" i="1" s="1"/>
  <c r="L42" i="1"/>
  <c r="F42" i="1"/>
  <c r="G42" i="1" s="1"/>
  <c r="H42" i="1" s="1"/>
  <c r="E42" i="1"/>
  <c r="N41" i="1"/>
  <c r="L41" i="1"/>
  <c r="R41" i="1" s="1"/>
  <c r="F41" i="1"/>
  <c r="E41" i="1"/>
  <c r="G41" i="1" s="1"/>
  <c r="H41" i="1" s="1"/>
  <c r="N40" i="1"/>
  <c r="L40" i="1"/>
  <c r="R40" i="1" s="1"/>
  <c r="F40" i="1"/>
  <c r="E40" i="1"/>
  <c r="G40" i="1" s="1"/>
  <c r="H40" i="1" s="1"/>
  <c r="R39" i="1"/>
  <c r="N39" i="1"/>
  <c r="L39" i="1"/>
  <c r="G39" i="1"/>
  <c r="H39" i="1" s="1"/>
  <c r="F39" i="1"/>
  <c r="E39" i="1"/>
  <c r="R38" i="1"/>
  <c r="N38" i="1"/>
  <c r="L38" i="1"/>
  <c r="F38" i="1"/>
  <c r="G38" i="1" s="1"/>
  <c r="H38" i="1" s="1"/>
  <c r="E38" i="1"/>
  <c r="N37" i="1"/>
  <c r="L37" i="1"/>
  <c r="R37" i="1" s="1"/>
  <c r="F37" i="1"/>
  <c r="E37" i="1"/>
  <c r="G37" i="1" s="1"/>
  <c r="H37" i="1" s="1"/>
  <c r="N36" i="1"/>
  <c r="L36" i="1"/>
  <c r="R36" i="1" s="1"/>
  <c r="F36" i="1"/>
  <c r="E36" i="1"/>
  <c r="G36" i="1" s="1"/>
  <c r="H36" i="1" s="1"/>
  <c r="R35" i="1"/>
  <c r="N35" i="1"/>
  <c r="L35" i="1"/>
  <c r="F35" i="1"/>
  <c r="E35" i="1"/>
  <c r="G35" i="1" s="1"/>
  <c r="H35" i="1" s="1"/>
  <c r="N34" i="1"/>
  <c r="R34" i="1" s="1"/>
  <c r="L34" i="1"/>
  <c r="F34" i="1"/>
  <c r="G34" i="1" s="1"/>
  <c r="H34" i="1" s="1"/>
  <c r="E34" i="1"/>
  <c r="N33" i="1"/>
  <c r="L33" i="1"/>
  <c r="R33" i="1" s="1"/>
  <c r="F33" i="1"/>
  <c r="E33" i="1"/>
  <c r="G33" i="1" s="1"/>
  <c r="H33" i="1" s="1"/>
  <c r="N32" i="1"/>
  <c r="L32" i="1"/>
  <c r="R32" i="1" s="1"/>
  <c r="F32" i="1"/>
  <c r="E32" i="1"/>
  <c r="G32" i="1" s="1"/>
  <c r="H32" i="1" s="1"/>
  <c r="N31" i="1"/>
  <c r="L31" i="1"/>
  <c r="R31" i="1" s="1"/>
  <c r="G31" i="1"/>
  <c r="H31" i="1" s="1"/>
  <c r="F31" i="1"/>
  <c r="E31" i="1"/>
  <c r="N30" i="1"/>
  <c r="R30" i="1" s="1"/>
  <c r="L30" i="1"/>
  <c r="G30" i="1"/>
  <c r="H30" i="1" s="1"/>
  <c r="F30" i="1"/>
  <c r="E30" i="1"/>
  <c r="N29" i="1"/>
  <c r="L29" i="1"/>
  <c r="R29" i="1" s="1"/>
  <c r="F29" i="1"/>
  <c r="E29" i="1"/>
  <c r="G29" i="1" s="1"/>
  <c r="H29" i="1" s="1"/>
  <c r="N28" i="1"/>
  <c r="L28" i="1"/>
  <c r="R28" i="1" s="1"/>
  <c r="F28" i="1"/>
  <c r="E28" i="1"/>
  <c r="G28" i="1" s="1"/>
  <c r="H28" i="1" s="1"/>
  <c r="R27" i="1"/>
  <c r="N27" i="1"/>
  <c r="L27" i="1"/>
  <c r="G27" i="1"/>
  <c r="H27" i="1" s="1"/>
  <c r="F27" i="1"/>
  <c r="E27" i="1"/>
  <c r="R26" i="1"/>
  <c r="N26" i="1"/>
  <c r="L26" i="1"/>
  <c r="F26" i="1"/>
  <c r="G26" i="1" s="1"/>
  <c r="H26" i="1" s="1"/>
  <c r="E26" i="1"/>
  <c r="N25" i="1"/>
  <c r="L25" i="1"/>
  <c r="R25" i="1" s="1"/>
  <c r="F25" i="1"/>
  <c r="E25" i="1"/>
  <c r="G25" i="1" s="1"/>
  <c r="H25" i="1" s="1"/>
  <c r="N24" i="1"/>
  <c r="L24" i="1"/>
  <c r="R24" i="1" s="1"/>
  <c r="F24" i="1"/>
  <c r="E24" i="1"/>
  <c r="G24" i="1" s="1"/>
  <c r="H24" i="1" s="1"/>
  <c r="R23" i="1"/>
  <c r="N23" i="1"/>
  <c r="L23" i="1"/>
  <c r="F23" i="1"/>
  <c r="E23" i="1"/>
  <c r="G23" i="1" s="1"/>
  <c r="H23" i="1" s="1"/>
  <c r="N22" i="1"/>
  <c r="R22" i="1" s="1"/>
  <c r="L22" i="1"/>
  <c r="F22" i="1"/>
  <c r="G22" i="1" s="1"/>
  <c r="H22" i="1" s="1"/>
  <c r="E22" i="1"/>
  <c r="N21" i="1"/>
  <c r="L21" i="1"/>
  <c r="R21" i="1" s="1"/>
  <c r="F21" i="1"/>
  <c r="E21" i="1"/>
  <c r="G21" i="1" s="1"/>
  <c r="H21" i="1" s="1"/>
  <c r="N20" i="1"/>
  <c r="L20" i="1"/>
  <c r="R20" i="1" s="1"/>
  <c r="F20" i="1"/>
  <c r="E20" i="1"/>
  <c r="G20" i="1" s="1"/>
  <c r="H20" i="1" s="1"/>
  <c r="N19" i="1"/>
  <c r="L19" i="1"/>
  <c r="R19" i="1" s="1"/>
  <c r="G19" i="1"/>
  <c r="H19" i="1" s="1"/>
  <c r="F19" i="1"/>
  <c r="E19" i="1"/>
  <c r="N18" i="1"/>
  <c r="R18" i="1" s="1"/>
  <c r="L18" i="1"/>
  <c r="G18" i="1"/>
  <c r="H18" i="1" s="1"/>
  <c r="F18" i="1"/>
  <c r="E18" i="1"/>
  <c r="N17" i="1"/>
  <c r="L17" i="1"/>
  <c r="R17" i="1" s="1"/>
  <c r="F17" i="1"/>
  <c r="E17" i="1"/>
  <c r="G17" i="1" s="1"/>
  <c r="H17" i="1" s="1"/>
  <c r="N16" i="1"/>
  <c r="L16" i="1"/>
  <c r="R16" i="1" s="1"/>
  <c r="F16" i="1"/>
  <c r="E16" i="1"/>
  <c r="G16" i="1" s="1"/>
  <c r="H16" i="1" s="1"/>
  <c r="R15" i="1"/>
  <c r="N15" i="1"/>
  <c r="L15" i="1"/>
  <c r="G15" i="1"/>
  <c r="H15" i="1" s="1"/>
  <c r="F15" i="1"/>
  <c r="E15" i="1"/>
  <c r="R14" i="1"/>
  <c r="N14" i="1"/>
  <c r="L14" i="1"/>
  <c r="F14" i="1"/>
  <c r="E14" i="1"/>
  <c r="G14" i="1" s="1"/>
  <c r="H14" i="1" s="1"/>
  <c r="N13" i="1"/>
  <c r="S13" i="1" s="1"/>
  <c r="L13" i="1"/>
  <c r="G13" i="1"/>
  <c r="F13" i="1"/>
  <c r="F272" i="1" s="1"/>
  <c r="E13" i="1"/>
  <c r="E272" i="1" s="1"/>
  <c r="G272" i="1" l="1"/>
  <c r="H13" i="1"/>
  <c r="R13" i="1"/>
</calcChain>
</file>

<file path=xl/sharedStrings.xml><?xml version="1.0" encoding="utf-8"?>
<sst xmlns="http://schemas.openxmlformats.org/spreadsheetml/2006/main" count="1332" uniqueCount="331">
  <si>
    <t>Dirección General de Contabilidad Gubernamental</t>
  </si>
  <si>
    <t>Inventario de Bienes de Consumo Al  30-06-2025</t>
  </si>
  <si>
    <t>Valores en RD$</t>
  </si>
  <si>
    <t>Capítulo</t>
  </si>
  <si>
    <t>DAF</t>
  </si>
  <si>
    <t>Sub-Capítulo</t>
  </si>
  <si>
    <t>UE</t>
  </si>
  <si>
    <t>Institución:</t>
  </si>
  <si>
    <t>CONSEJO NACIONAL DE ZONAS FRANCAS DE EXPORTACIONES</t>
  </si>
  <si>
    <t>Fuente Específica</t>
  </si>
  <si>
    <t>CCP-AUX</t>
  </si>
  <si>
    <t>Descripción</t>
  </si>
  <si>
    <t>Balance Inicial</t>
  </si>
  <si>
    <t>Entradas</t>
  </si>
  <si>
    <t>Salidas</t>
  </si>
  <si>
    <t>Balance Final</t>
  </si>
  <si>
    <t>Diferencia</t>
  </si>
  <si>
    <t>Descripcion</t>
  </si>
  <si>
    <t>Medida</t>
  </si>
  <si>
    <t>Entrada</t>
  </si>
  <si>
    <t>Valor</t>
  </si>
  <si>
    <t>Salida</t>
  </si>
  <si>
    <t>Existencia</t>
  </si>
  <si>
    <t>Costo</t>
  </si>
  <si>
    <t>Balance</t>
  </si>
  <si>
    <t>0100</t>
  </si>
  <si>
    <t>2.3.1.1.01</t>
  </si>
  <si>
    <t>Aceite Oliva Lider 750 Ml</t>
  </si>
  <si>
    <t>Unidad</t>
  </si>
  <si>
    <t>2.3.9.1.01</t>
  </si>
  <si>
    <t>Aerosol Glade d/varios aromas</t>
  </si>
  <si>
    <t>Agua Crystal 0.5 L (1/20)</t>
  </si>
  <si>
    <t>2.3.9.3.01</t>
  </si>
  <si>
    <t>Alcohol Isopropilico 75% GL</t>
  </si>
  <si>
    <t>Galón</t>
  </si>
  <si>
    <t>Ambientador Dispensadores 6.2</t>
  </si>
  <si>
    <t>Ambientador Plugins</t>
  </si>
  <si>
    <t>Ase brillante 400 G</t>
  </si>
  <si>
    <t>paquetes</t>
  </si>
  <si>
    <t>Azucar Crema 5 Lbs.</t>
  </si>
  <si>
    <t>Libras</t>
  </si>
  <si>
    <t>Azucar Refino 5/lbs.</t>
  </si>
  <si>
    <t>Paquetes</t>
  </si>
  <si>
    <t>Azucar Splenda 100/Sobres</t>
  </si>
  <si>
    <t>Cajas</t>
  </si>
  <si>
    <t>2.3.9.2.01</t>
  </si>
  <si>
    <t>Bandejas p/Escritorios</t>
  </si>
  <si>
    <t>2.3.3.2.01</t>
  </si>
  <si>
    <t>Banditas de Gomas</t>
  </si>
  <si>
    <t>Base Agenda Esc.T/Libro G/Meta</t>
  </si>
  <si>
    <t>2.3.9.6.01</t>
  </si>
  <si>
    <t>Bateria  AA Duracell</t>
  </si>
  <si>
    <t>Bateria 9 Volt. Duracell</t>
  </si>
  <si>
    <t>Bateria AAA Duracel</t>
  </si>
  <si>
    <t>Brillo de Alambre</t>
  </si>
  <si>
    <t>Brillo Gris</t>
  </si>
  <si>
    <t>Brillo verde</t>
  </si>
  <si>
    <t>Cable Tef. 25' Liso</t>
  </si>
  <si>
    <t>Cable Tef. Espirarl 8'</t>
  </si>
  <si>
    <t>unidad</t>
  </si>
  <si>
    <t>Cafe Molido D/una Libra</t>
  </si>
  <si>
    <t>Cajas Carton p/Archivo</t>
  </si>
  <si>
    <t>Carpetas W Jones  1 " Negras</t>
  </si>
  <si>
    <t>Carpetas W Jones 1"  Blanc</t>
  </si>
  <si>
    <t>Carpetas W Jones 1" Azul</t>
  </si>
  <si>
    <t>Carpetas Wilson Jones 2" Blanc</t>
  </si>
  <si>
    <t>Carpetas Wilson Jones 2" Negra</t>
  </si>
  <si>
    <t>Carpetas Wilson Jones 3" Blanc</t>
  </si>
  <si>
    <t>Carpetas Wilson Jones 3" Negra</t>
  </si>
  <si>
    <t>Carpetas Wilson Jones 4" Blanc</t>
  </si>
  <si>
    <t>Carpetas Wilson Jones 4" Negra</t>
  </si>
  <si>
    <t>Cartucho Tinta HP 950 Black</t>
  </si>
  <si>
    <t>Cartucho Tinta HP 951 Cyan</t>
  </si>
  <si>
    <t>Cartucho Tinta HP 951 Magenta</t>
  </si>
  <si>
    <t>Cartucho Tinta HP 951 Yellow</t>
  </si>
  <si>
    <t>Cartulina hilo 8 1/2x11/blanca</t>
  </si>
  <si>
    <t>Resma</t>
  </si>
  <si>
    <t>Cartulina Opalina Blanca 8 1/2</t>
  </si>
  <si>
    <t>CAJA</t>
  </si>
  <si>
    <t>Cepillo Limp.Inodoro C/base</t>
  </si>
  <si>
    <t>Cera /Oficina Gatherette</t>
  </si>
  <si>
    <t>Cinta Adhesiva Doble Cara</t>
  </si>
  <si>
    <t>Rolllos</t>
  </si>
  <si>
    <t>Cinta P/Impresora 7753</t>
  </si>
  <si>
    <t>Cinta p/Impresora zebra S/1</t>
  </si>
  <si>
    <t>Cinta ZC  Serie100/300</t>
  </si>
  <si>
    <t>Cintas Adhesiva 3/4"</t>
  </si>
  <si>
    <t>Cintas Adhesiva Transp.2 x 40</t>
  </si>
  <si>
    <t>Cintas Correct. Universal K096</t>
  </si>
  <si>
    <t>Cintas Epson 8750</t>
  </si>
  <si>
    <t>Cintas Escribir Brother AX-10</t>
  </si>
  <si>
    <t>Cintas Impresora SP/200 Sigma</t>
  </si>
  <si>
    <t>Cintas P/Carnet 800300-550</t>
  </si>
  <si>
    <t>Cintas P/Impresoras Carnet</t>
  </si>
  <si>
    <t>Cintas Tela Maq.Sumadora</t>
  </si>
  <si>
    <t>Clips Billeteros  3/4"</t>
  </si>
  <si>
    <t>Clips Billeteros 1 1/4"</t>
  </si>
  <si>
    <t>Clips Billeteros 1"</t>
  </si>
  <si>
    <t>Clips Billeteros 2"</t>
  </si>
  <si>
    <t>Clips Grandes</t>
  </si>
  <si>
    <t>Clips Pequeños</t>
  </si>
  <si>
    <t>Cloro Galon</t>
  </si>
  <si>
    <t>Galones</t>
  </si>
  <si>
    <t>Comprobante de Imgreso</t>
  </si>
  <si>
    <t>Control de Insp.Vehiculos</t>
  </si>
  <si>
    <t>Block</t>
  </si>
  <si>
    <t>Control de LLamadas Telefonica</t>
  </si>
  <si>
    <t>Control Tramitación Correspond</t>
  </si>
  <si>
    <t>Corrector Liquido Blanco</t>
  </si>
  <si>
    <t>Crema Kraft 22 Onz</t>
  </si>
  <si>
    <t>2.3.9.5.01</t>
  </si>
  <si>
    <t>Cucharas Termoenvases</t>
  </si>
  <si>
    <t>Descalin p/suelo</t>
  </si>
  <si>
    <t>Galon</t>
  </si>
  <si>
    <t>Desembolsos Caja Viaticos</t>
  </si>
  <si>
    <t>Talonari</t>
  </si>
  <si>
    <t>Desembolsos Cja.Chica Santiago</t>
  </si>
  <si>
    <t>Desembolsos Cja.Chica Sto.Dgo.</t>
  </si>
  <si>
    <t>Desgrasante p/cocina GL</t>
  </si>
  <si>
    <t>Desinfectante Galon</t>
  </si>
  <si>
    <t>Desinfectante Lysol Spray 19oz</t>
  </si>
  <si>
    <t>Detergente Liquido</t>
  </si>
  <si>
    <t>Dispensador p/ambientadores</t>
  </si>
  <si>
    <t>Dispensador p/ambientadores 6.2 SPRAY</t>
  </si>
  <si>
    <t>Dispensadores para Cintas</t>
  </si>
  <si>
    <t>Escoba para barrer</t>
  </si>
  <si>
    <t>Esp.P/Encuadernar 06MM 1/4"</t>
  </si>
  <si>
    <t>Caja</t>
  </si>
  <si>
    <t>Esp.P/Encuadernar 19MM 3/4"</t>
  </si>
  <si>
    <t>Esp.P/Encuadernar 22MM 7/8"</t>
  </si>
  <si>
    <t>Espirales Continuo 08MM 5/16"</t>
  </si>
  <si>
    <t>Espirales Continuo 10MM</t>
  </si>
  <si>
    <t>Espirales Continuo 12MM</t>
  </si>
  <si>
    <t>Espirales Continuo 14 MM</t>
  </si>
  <si>
    <t>Espirales Continuo 16MM</t>
  </si>
  <si>
    <t>Espirales Continuo 18MM</t>
  </si>
  <si>
    <t>Espirales Contínuos 25MM 1"</t>
  </si>
  <si>
    <t>Espirales Tradic. 25MM</t>
  </si>
  <si>
    <t>Espirales Tradicion 16MM</t>
  </si>
  <si>
    <t>Espirales Tradicion 20MM</t>
  </si>
  <si>
    <t>Espirales Tradicional 12M</t>
  </si>
  <si>
    <t>Espirales Tradicional 33M</t>
  </si>
  <si>
    <t>Esponjas P/ Fregar</t>
  </si>
  <si>
    <t>Felpas Sanford Azul</t>
  </si>
  <si>
    <t>Felpas Sanford Negra</t>
  </si>
  <si>
    <t>Felpas Sanford Roja</t>
  </si>
  <si>
    <t>Formularios de Exp.Sto. Dgo.</t>
  </si>
  <si>
    <t>Foulder 2 partes 8 1/2 x 11"</t>
  </si>
  <si>
    <t>Foulder Manila 8 1/2x11"</t>
  </si>
  <si>
    <t>Foulder Manila 8 1/2x14"</t>
  </si>
  <si>
    <t>Foulder Satinado Azul</t>
  </si>
  <si>
    <t>Fundas P/ Zafacones  4 Glnes</t>
  </si>
  <si>
    <t>Paquete</t>
  </si>
  <si>
    <t>Fundas P/ Zafacones 30 Glnes.</t>
  </si>
  <si>
    <t>Fundas P/ Zafacones 55 Glnes.</t>
  </si>
  <si>
    <t>Galón Aceite Verde</t>
  </si>
  <si>
    <t>Galon de Vinagre</t>
  </si>
  <si>
    <t>Ganchos Acco</t>
  </si>
  <si>
    <t>Gel Antibacterial GL</t>
  </si>
  <si>
    <t>Gel Sanitizante (Manitas Limp)</t>
  </si>
  <si>
    <t>Grapadoras Bostitch</t>
  </si>
  <si>
    <t>Grapas 1/2"</t>
  </si>
  <si>
    <t>Grapas 1/4" 23/6</t>
  </si>
  <si>
    <t>Grapas 5/8</t>
  </si>
  <si>
    <t>Grapas Standard No. 26</t>
  </si>
  <si>
    <t>Guantes Desechables</t>
  </si>
  <si>
    <t>Jabón  Liquido  475 ML</t>
  </si>
  <si>
    <t>Jabon Bola Azul p/fregar</t>
  </si>
  <si>
    <t>Jabón Espuma 1000 ML</t>
  </si>
  <si>
    <t>Jabón Liq. P/mano</t>
  </si>
  <si>
    <t>Jabon Liquido Lava Platos</t>
  </si>
  <si>
    <t>Kleenex Gigante</t>
  </si>
  <si>
    <t>Label Etiqueta CD</t>
  </si>
  <si>
    <t>Label Laser 1 x 4</t>
  </si>
  <si>
    <t>Label Laser 2 x 4</t>
  </si>
  <si>
    <t>Label Velmer</t>
  </si>
  <si>
    <t>Lamina para carnet plastica</t>
  </si>
  <si>
    <t>Lapiceros Faber Castell Negro</t>
  </si>
  <si>
    <t>Lapiceros Faber Castell Rojo</t>
  </si>
  <si>
    <t>Lapiceros Faber Caster Azul</t>
  </si>
  <si>
    <t>Lapiz Carbon Berol Mirado</t>
  </si>
  <si>
    <t>Libretas Rayadas 5x8 Amarillas</t>
  </si>
  <si>
    <t>Libretas Rayadas 5x8 Blancas</t>
  </si>
  <si>
    <t>Libretas Rayadas 8 1/2x11/Amar</t>
  </si>
  <si>
    <t>Libretas Rayadas 8 1/2x11/Blan</t>
  </si>
  <si>
    <t>2.3.3.6.01</t>
  </si>
  <si>
    <t>Libro Record 150 Pág.</t>
  </si>
  <si>
    <t>Libro Record 300 Pág.</t>
  </si>
  <si>
    <t>Libro Record 500 Pág.</t>
  </si>
  <si>
    <t>Marcadores EFaber Azules</t>
  </si>
  <si>
    <t>Marcadores Merletto Negro</t>
  </si>
  <si>
    <t>Marcadores Merletto Rojo</t>
  </si>
  <si>
    <t>Mascarillas Quirurgicas,C/Azul</t>
  </si>
  <si>
    <t>Unidas</t>
  </si>
  <si>
    <t>Mouse Pad</t>
  </si>
  <si>
    <t>Mouse USB</t>
  </si>
  <si>
    <t>Palo p/Swaper de Madera</t>
  </si>
  <si>
    <t>2.3.3.1.01</t>
  </si>
  <si>
    <t>Papel Bond 20 8 1/2 X 11</t>
  </si>
  <si>
    <t>Papel Bond 20 8 1/2 X 14</t>
  </si>
  <si>
    <t>Papel higienico p/baño</t>
  </si>
  <si>
    <t>Rollos</t>
  </si>
  <si>
    <t>Papel Plastico PVC Cocina</t>
  </si>
  <si>
    <t>Papel Satinado 8 1/2x11Brochur</t>
  </si>
  <si>
    <t>Papel Timbrado 8 1/2 X 11</t>
  </si>
  <si>
    <t>Papel Toalla</t>
  </si>
  <si>
    <t>Pegamento Coqui Gel</t>
  </si>
  <si>
    <t>Pegamento Uhu Liquido</t>
  </si>
  <si>
    <t>Pegamento Uhu Pasta</t>
  </si>
  <si>
    <t>Pendaflex 9 1/2 x 14</t>
  </si>
  <si>
    <t>Pendaflex 9 1/2x11</t>
  </si>
  <si>
    <t>Perforadoras 2 Hoyos</t>
  </si>
  <si>
    <t>Pines Puma W/190 Onza</t>
  </si>
  <si>
    <t>Platos Deschebles grandes</t>
  </si>
  <si>
    <t>Faldo</t>
  </si>
  <si>
    <t>Platos Deschebles Pequeños</t>
  </si>
  <si>
    <t>Porta Clips</t>
  </si>
  <si>
    <t>Porta Lapiz</t>
  </si>
  <si>
    <t>Post-it   3 X 3</t>
  </si>
  <si>
    <t>Post-it  Banderita</t>
  </si>
  <si>
    <t>Protector de Hojas</t>
  </si>
  <si>
    <t>Recibos de Ingresos Pto.Plata</t>
  </si>
  <si>
    <t>talonari</t>
  </si>
  <si>
    <t>Recibos Ingresos Prov.Sto.Dgo.</t>
  </si>
  <si>
    <t>Recogedor Basura P/Madera</t>
  </si>
  <si>
    <t>Recogedor de Basura Kika</t>
  </si>
  <si>
    <t>Reglas plasticas</t>
  </si>
  <si>
    <t>Resaltador Eber hard  Amarillo</t>
  </si>
  <si>
    <t>Resaltador Eber hard fab Verde</t>
  </si>
  <si>
    <t>Resaltador Naranja</t>
  </si>
  <si>
    <t>Resaltador Stabilo Azul</t>
  </si>
  <si>
    <t>Roll-on sanford negro</t>
  </si>
  <si>
    <t>Rollos Papel de 3 Partes Orig.</t>
  </si>
  <si>
    <t>Rollos Papel Sumadora</t>
  </si>
  <si>
    <t>Saca Grapas</t>
  </si>
  <si>
    <t>Safacones p/baños</t>
  </si>
  <si>
    <t>Safacones p/Ofcina</t>
  </si>
  <si>
    <t>Sal Yodada / Tarro</t>
  </si>
  <si>
    <t>TARRO</t>
  </si>
  <si>
    <t>Separadores Carpetas 1-15</t>
  </si>
  <si>
    <t>Separadores Carpetas 1-31</t>
  </si>
  <si>
    <t>101</t>
  </si>
  <si>
    <t>Separadores Carpetas Universal</t>
  </si>
  <si>
    <t>Separadores de Carpetas 1-12</t>
  </si>
  <si>
    <t>Separadores Tablas Cont. 5-1</t>
  </si>
  <si>
    <t>Servilletas Desechables</t>
  </si>
  <si>
    <t>Sobre Carta S/T #10</t>
  </si>
  <si>
    <t>Sobre Carta Timbrado #10</t>
  </si>
  <si>
    <t>Sobre Manila 10 x 14</t>
  </si>
  <si>
    <t>Sobre Manila 14 x 18"</t>
  </si>
  <si>
    <t>Sobre Manila S/T 10 x 13"</t>
  </si>
  <si>
    <t>Sobre Manila S/T 9 x 12"</t>
  </si>
  <si>
    <t>Sobre Manila Timbrado 9 x 12"</t>
  </si>
  <si>
    <t>Sobre ManilaTimbrado 10 x 13"</t>
  </si>
  <si>
    <t>Suaper</t>
  </si>
  <si>
    <t>Suavizante J-Plus GL</t>
  </si>
  <si>
    <t>Tabla Gancho 8 1/2 x 11Carton</t>
  </si>
  <si>
    <t>Te Manazul</t>
  </si>
  <si>
    <t>Teclado USB</t>
  </si>
  <si>
    <t>Tijera p/Oficina</t>
  </si>
  <si>
    <t>Tinta Epson 664 Amarill/Impres</t>
  </si>
  <si>
    <t>Botella</t>
  </si>
  <si>
    <t>Tinta Epson 664 Azull/Impres</t>
  </si>
  <si>
    <t>Tinta Epson 664 Magenta/Impres</t>
  </si>
  <si>
    <t>Tinta Epson 664 Negra p/Impres</t>
  </si>
  <si>
    <t>Tinta Ideal, Azul 2 Onz</t>
  </si>
  <si>
    <t>Tinta Ideal, Negra 2 Onz</t>
  </si>
  <si>
    <t>Tinta Ideal, Roja 2 Onz</t>
  </si>
  <si>
    <t>Tinta Ideal, Verde 2 Onz</t>
  </si>
  <si>
    <t>Toallas Humedas Huggies</t>
  </si>
  <si>
    <t>Toallas P/Limpieza</t>
  </si>
  <si>
    <t>Toner Brother TN360</t>
  </si>
  <si>
    <t>Toner CB435-AD Negro</t>
  </si>
  <si>
    <t>Toner Cilindro Photo Conductor</t>
  </si>
  <si>
    <t>Toner Film  15CR Sharp</t>
  </si>
  <si>
    <t>Toner Film  3CR Sharp</t>
  </si>
  <si>
    <t>Toner Film  5CR Sharp</t>
  </si>
  <si>
    <t>Toner HP 206A Cyan (W2111A)</t>
  </si>
  <si>
    <t>Toner HP 206A Magenta (W2113A)</t>
  </si>
  <si>
    <t>Toner HP 206A Negro (W2110A)</t>
  </si>
  <si>
    <t>Toner HP 206A Yellow (W2112A)</t>
  </si>
  <si>
    <t>Toner HP 305A Amarillo CE412A</t>
  </si>
  <si>
    <t>Toner HP 305A Azul CE411 A</t>
  </si>
  <si>
    <t>Toner HP 305A Magenta CE413 A</t>
  </si>
  <si>
    <t>Toner HP 305A Negro CE410 A</t>
  </si>
  <si>
    <t>Toner HP 30A-CF230A</t>
  </si>
  <si>
    <t>Toner HP CF 380A</t>
  </si>
  <si>
    <t>UNIDAD</t>
  </si>
  <si>
    <t>Toner HP CF 381A</t>
  </si>
  <si>
    <t>Toner HP CF 382A</t>
  </si>
  <si>
    <t>Toner HP CF 383A</t>
  </si>
  <si>
    <t>Toner HP CF283A Negro</t>
  </si>
  <si>
    <t>Toner HP Laser 55A Negro</t>
  </si>
  <si>
    <t>UNIdad</t>
  </si>
  <si>
    <t>Toner HP Laser 78A Negro</t>
  </si>
  <si>
    <t>Toner HP Laser CC530A</t>
  </si>
  <si>
    <t>Toner HP Laser CC531A</t>
  </si>
  <si>
    <t>Toner HP Laser CC532A</t>
  </si>
  <si>
    <t>Toner HP Laser CC533A</t>
  </si>
  <si>
    <t>Toner HP Laser JET CF410 Negro</t>
  </si>
  <si>
    <t>Toner HP Laser JETCF 411 Azul</t>
  </si>
  <si>
    <t>Toner HP Laser JETCF 412 Amari</t>
  </si>
  <si>
    <t>Toner HP Laser JETCF 413 Magen</t>
  </si>
  <si>
    <t>Toner HP Laserjet #85A</t>
  </si>
  <si>
    <t>Toner Laser HP Q2613A</t>
  </si>
  <si>
    <t>Toner Laser HP Q5949A</t>
  </si>
  <si>
    <t>Toner Laser HP Q6470A Negro</t>
  </si>
  <si>
    <t>Toner Laser HP Q7581A Azul</t>
  </si>
  <si>
    <t>Toner Laser Hp Q7582A Amarillo</t>
  </si>
  <si>
    <t>Toner Laser HP Q7583A Rojo</t>
  </si>
  <si>
    <t>Toner Q2612-A Negro</t>
  </si>
  <si>
    <t>Toner Ricoh 1135 Lanier</t>
  </si>
  <si>
    <t>Toner Toshiba 2060</t>
  </si>
  <si>
    <t>Toner Toshiba T-170-F</t>
  </si>
  <si>
    <t>Toner Type MP 4500/8045E/L345</t>
  </si>
  <si>
    <t>Vasos FL-0000310 # 4</t>
  </si>
  <si>
    <t>Vasos FL-0000560 # 10</t>
  </si>
  <si>
    <t>Vasos FL-0000560 # 8</t>
  </si>
  <si>
    <t>Vinagre Balsamico Ponti 500Ml</t>
  </si>
  <si>
    <t xml:space="preserve">              TOTALES RD$</t>
  </si>
  <si>
    <t>DG-INS-02-43</t>
  </si>
  <si>
    <t>ANGEL ALCANTARA</t>
  </si>
  <si>
    <t>JOAQUIN ELIAS JIMENEZ</t>
  </si>
  <si>
    <t>PREPARADO POR</t>
  </si>
  <si>
    <t xml:space="preserve">                      AUTORIZADO POR</t>
  </si>
  <si>
    <t>AUX. SUMINISTRO ALMACEN</t>
  </si>
  <si>
    <t>ENC. ADM. Y FINANCIERO</t>
  </si>
  <si>
    <t>PUESTO QUE OCUPA</t>
  </si>
  <si>
    <t xml:space="preserve">                      JOSE LUIS PINEDA</t>
  </si>
  <si>
    <t xml:space="preserve">                   REVISADO POR</t>
  </si>
  <si>
    <t>ENCARGADO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</si>
</sst>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000"/>
    <numFmt numFmtId="166" formatCode="00"/>
    <numFmt numFmtId="167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b/>
      <sz val="10"/>
      <name val="Aptos"/>
      <family val="2"/>
    </font>
    <font>
      <sz val="10"/>
      <name val="Aptos"/>
      <family val="2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2" applyFont="1"/>
    <xf numFmtId="4" fontId="3" fillId="0" borderId="0" xfId="2" applyNumberFormat="1" applyFont="1"/>
    <xf numFmtId="0" fontId="3" fillId="2" borderId="0" xfId="2" applyFont="1" applyFill="1"/>
    <xf numFmtId="43" fontId="3" fillId="2" borderId="0" xfId="1" applyFont="1" applyFill="1"/>
    <xf numFmtId="0" fontId="5" fillId="0" borderId="0" xfId="2" applyFont="1" applyAlignment="1">
      <alignment horizontal="center"/>
    </xf>
    <xf numFmtId="0" fontId="5" fillId="0" borderId="0" xfId="2" applyFont="1" applyAlignment="1" applyProtection="1">
      <alignment horizontal="center"/>
      <protection locked="0"/>
    </xf>
    <xf numFmtId="0" fontId="6" fillId="0" borderId="0" xfId="2" applyFont="1"/>
    <xf numFmtId="165" fontId="7" fillId="0" borderId="1" xfId="2" applyNumberFormat="1" applyFont="1" applyBorder="1" applyAlignment="1" applyProtection="1">
      <alignment horizontal="center"/>
      <protection locked="0"/>
    </xf>
    <xf numFmtId="165" fontId="7" fillId="0" borderId="0" xfId="2" applyNumberFormat="1" applyFont="1" applyAlignment="1" applyProtection="1">
      <alignment horizontal="center"/>
      <protection locked="0"/>
    </xf>
    <xf numFmtId="4" fontId="6" fillId="0" borderId="0" xfId="2" applyNumberFormat="1" applyFont="1" applyAlignment="1">
      <alignment horizontal="right"/>
    </xf>
    <xf numFmtId="166" fontId="7" fillId="0" borderId="1" xfId="2" applyNumberFormat="1" applyFont="1" applyBorder="1" applyAlignment="1" applyProtection="1">
      <alignment horizontal="center"/>
      <protection locked="0"/>
    </xf>
    <xf numFmtId="166" fontId="7" fillId="0" borderId="0" xfId="2" applyNumberFormat="1" applyFont="1" applyAlignment="1" applyProtection="1">
      <alignment horizontal="center"/>
      <protection locked="0"/>
    </xf>
    <xf numFmtId="4" fontId="7" fillId="0" borderId="0" xfId="2" applyNumberFormat="1" applyFont="1" applyAlignment="1" applyProtection="1">
      <alignment horizontal="center"/>
      <protection locked="0"/>
    </xf>
    <xf numFmtId="0" fontId="6" fillId="0" borderId="2" xfId="2" applyFont="1" applyBorder="1" applyAlignment="1">
      <alignment horizontal="left"/>
    </xf>
    <xf numFmtId="0" fontId="6" fillId="0" borderId="2" xfId="2" applyFont="1" applyBorder="1" applyAlignment="1">
      <alignment horizontal="center"/>
    </xf>
    <xf numFmtId="4" fontId="3" fillId="0" borderId="2" xfId="2" applyNumberFormat="1" applyFont="1" applyBorder="1"/>
    <xf numFmtId="0" fontId="6" fillId="0" borderId="3" xfId="2" applyFont="1" applyBorder="1" applyAlignment="1">
      <alignment horizontal="center" vertical="justify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4" fontId="6" fillId="0" borderId="5" xfId="2" applyNumberFormat="1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/>
    </xf>
    <xf numFmtId="0" fontId="8" fillId="2" borderId="0" xfId="2" applyFont="1" applyFill="1" applyAlignment="1">
      <alignment horizontal="center"/>
    </xf>
    <xf numFmtId="0" fontId="9" fillId="0" borderId="0" xfId="0" applyFont="1"/>
    <xf numFmtId="167" fontId="9" fillId="0" borderId="0" xfId="1" applyNumberFormat="1" applyFont="1"/>
    <xf numFmtId="43" fontId="9" fillId="0" borderId="0" xfId="1" applyFont="1"/>
    <xf numFmtId="43" fontId="9" fillId="3" borderId="0" xfId="1" applyFont="1" applyFill="1"/>
    <xf numFmtId="49" fontId="3" fillId="0" borderId="1" xfId="2" applyNumberFormat="1" applyFont="1" applyBorder="1" applyAlignment="1" applyProtection="1">
      <alignment horizontal="center"/>
      <protection locked="0"/>
    </xf>
    <xf numFmtId="0" fontId="3" fillId="0" borderId="6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4" fontId="3" fillId="0" borderId="5" xfId="2" applyNumberFormat="1" applyFont="1" applyBorder="1" applyProtection="1">
      <protection locked="0"/>
    </xf>
    <xf numFmtId="164" fontId="0" fillId="0" borderId="0" xfId="0" applyNumberFormat="1"/>
    <xf numFmtId="4" fontId="3" fillId="0" borderId="1" xfId="2" applyNumberFormat="1" applyFont="1" applyBorder="1"/>
    <xf numFmtId="164" fontId="3" fillId="2" borderId="0" xfId="2" applyNumberFormat="1" applyFont="1" applyFill="1"/>
    <xf numFmtId="167" fontId="0" fillId="0" borderId="0" xfId="1" applyNumberFormat="1" applyFont="1"/>
    <xf numFmtId="43" fontId="0" fillId="0" borderId="0" xfId="1" applyFont="1"/>
    <xf numFmtId="43" fontId="4" fillId="3" borderId="0" xfId="1" applyFont="1" applyFill="1"/>
    <xf numFmtId="164" fontId="3" fillId="0" borderId="0" xfId="2" applyNumberFormat="1" applyFont="1"/>
    <xf numFmtId="4" fontId="3" fillId="0" borderId="1" xfId="3" applyNumberFormat="1" applyFont="1" applyFill="1" applyBorder="1" applyProtection="1">
      <protection locked="0"/>
    </xf>
    <xf numFmtId="0" fontId="2" fillId="0" borderId="0" xfId="0" applyFont="1"/>
    <xf numFmtId="164" fontId="2" fillId="0" borderId="0" xfId="0" applyNumberFormat="1" applyFont="1"/>
    <xf numFmtId="167" fontId="2" fillId="0" borderId="0" xfId="1" applyNumberFormat="1" applyFont="1" applyFill="1"/>
    <xf numFmtId="43" fontId="2" fillId="0" borderId="0" xfId="1" applyFont="1" applyFill="1"/>
    <xf numFmtId="0" fontId="7" fillId="2" borderId="0" xfId="2" applyFont="1" applyFill="1"/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4" fontId="8" fillId="0" borderId="1" xfId="3" applyNumberFormat="1" applyFont="1" applyFill="1" applyBorder="1" applyProtection="1">
      <protection locked="0"/>
    </xf>
    <xf numFmtId="43" fontId="10" fillId="3" borderId="0" xfId="1" applyFont="1" applyFill="1"/>
    <xf numFmtId="0" fontId="11" fillId="0" borderId="0" xfId="2" applyFont="1" applyAlignment="1">
      <alignment horizontal="right"/>
    </xf>
    <xf numFmtId="164" fontId="12" fillId="0" borderId="0" xfId="2" applyNumberFormat="1" applyFont="1"/>
    <xf numFmtId="0" fontId="13" fillId="2" borderId="2" xfId="2" applyFont="1" applyFill="1" applyBorder="1" applyAlignment="1">
      <alignment horizontal="left"/>
    </xf>
    <xf numFmtId="0" fontId="13" fillId="2" borderId="0" xfId="2" applyFont="1" applyFill="1" applyAlignment="1">
      <alignment horizontal="left"/>
    </xf>
    <xf numFmtId="0" fontId="13" fillId="2" borderId="0" xfId="2" applyFont="1" applyFill="1" applyAlignment="1">
      <alignment horizontal="center"/>
    </xf>
    <xf numFmtId="0" fontId="13" fillId="2" borderId="2" xfId="2" applyFont="1" applyFill="1" applyBorder="1" applyAlignment="1">
      <alignment horizontal="center" wrapText="1"/>
    </xf>
    <xf numFmtId="0" fontId="13" fillId="2" borderId="0" xfId="2" applyFont="1" applyFill="1"/>
    <xf numFmtId="0" fontId="14" fillId="2" borderId="0" xfId="2" applyFont="1" applyFill="1"/>
    <xf numFmtId="0" fontId="13" fillId="2" borderId="2" xfId="2" applyFont="1" applyFill="1" applyBorder="1" applyAlignment="1">
      <alignment horizontal="center"/>
    </xf>
    <xf numFmtId="0" fontId="14" fillId="2" borderId="2" xfId="2" applyFont="1" applyFill="1" applyBorder="1"/>
    <xf numFmtId="4" fontId="14" fillId="2" borderId="9" xfId="2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4" fontId="13" fillId="2" borderId="2" xfId="2" applyNumberFormat="1" applyFont="1" applyFill="1" applyBorder="1" applyAlignment="1">
      <alignment horizontal="center" wrapText="1"/>
    </xf>
    <xf numFmtId="4" fontId="14" fillId="2" borderId="0" xfId="2" applyNumberFormat="1" applyFont="1" applyFill="1" applyAlignment="1">
      <alignment horizontal="center" wrapText="1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4" fontId="3" fillId="0" borderId="0" xfId="2" applyNumberFormat="1" applyFont="1" applyAlignment="1">
      <alignment horizontal="center"/>
    </xf>
    <xf numFmtId="49" fontId="3" fillId="0" borderId="0" xfId="2" applyNumberFormat="1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left"/>
      <protection locked="0"/>
    </xf>
    <xf numFmtId="4" fontId="3" fillId="0" borderId="0" xfId="2" applyNumberFormat="1" applyFont="1" applyProtection="1">
      <protection locked="0"/>
    </xf>
    <xf numFmtId="4" fontId="3" fillId="0" borderId="0" xfId="3" applyNumberFormat="1" applyFont="1" applyFill="1" applyBorder="1" applyProtection="1">
      <protection locked="0"/>
    </xf>
    <xf numFmtId="4" fontId="8" fillId="2" borderId="0" xfId="3" applyNumberFormat="1" applyFont="1" applyFill="1" applyBorder="1" applyProtection="1">
      <protection locked="0"/>
    </xf>
    <xf numFmtId="0" fontId="8" fillId="2" borderId="0" xfId="2" applyFont="1" applyFill="1" applyAlignment="1">
      <alignment horizontal="center"/>
    </xf>
    <xf numFmtId="164" fontId="3" fillId="2" borderId="0" xfId="4" applyFont="1" applyFill="1" applyBorder="1"/>
    <xf numFmtId="4" fontId="3" fillId="2" borderId="0" xfId="2" applyNumberFormat="1" applyFont="1" applyFill="1"/>
    <xf numFmtId="164" fontId="15" fillId="2" borderId="0" xfId="2" applyNumberFormat="1" applyFont="1" applyFill="1"/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center"/>
    </xf>
    <xf numFmtId="0" fontId="13" fillId="2" borderId="0" xfId="2" applyFont="1" applyFill="1" applyAlignment="1">
      <alignment horizontal="center" wrapText="1"/>
    </xf>
    <xf numFmtId="0" fontId="13" fillId="2" borderId="0" xfId="2" applyFont="1" applyFill="1" applyAlignment="1">
      <alignment vertical="center"/>
    </xf>
    <xf numFmtId="4" fontId="14" fillId="2" borderId="0" xfId="2" applyNumberFormat="1" applyFont="1" applyFill="1"/>
    <xf numFmtId="0" fontId="14" fillId="2" borderId="0" xfId="2" applyFont="1" applyFill="1" applyAlignment="1">
      <alignment horizontal="left" wrapText="1"/>
    </xf>
    <xf numFmtId="4" fontId="14" fillId="2" borderId="0" xfId="2" applyNumberFormat="1" applyFont="1" applyFill="1" applyAlignment="1">
      <alignment horizontal="left" wrapText="1"/>
    </xf>
    <xf numFmtId="4" fontId="14" fillId="2" borderId="0" xfId="2" applyNumberFormat="1" applyFont="1" applyFill="1" applyAlignment="1">
      <alignment horizontal="center"/>
    </xf>
  </cellXfs>
  <cellStyles count="5">
    <cellStyle name="Currency 2" xfId="3" xr:uid="{890A5CCA-9EF0-4E18-A769-B965815F0283}"/>
    <cellStyle name="Millares" xfId="1" builtinId="3"/>
    <cellStyle name="Millares 2" xfId="4" xr:uid="{38FE64FF-6046-41BC-82FE-5E3255E4D650}"/>
    <cellStyle name="Normal" xfId="0" builtinId="0"/>
    <cellStyle name="Normal 2" xfId="2" xr:uid="{56B1FE81-F148-4CE8-90E5-075A1DC89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3</xdr:row>
      <xdr:rowOff>0</xdr:rowOff>
    </xdr:from>
    <xdr:to>
      <xdr:col>6</xdr:col>
      <xdr:colOff>561975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FC4AA-2C45-4540-83C2-C451E37B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56379">
          <a:off x="5905500" y="485775"/>
          <a:ext cx="1028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0</xdr:row>
      <xdr:rowOff>0</xdr:rowOff>
    </xdr:from>
    <xdr:to>
      <xdr:col>4</xdr:col>
      <xdr:colOff>114300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19F3C0-27AF-4919-9008-DCF35076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0"/>
          <a:ext cx="8763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CB6F-6823-466C-8B52-3F7F84896080}">
  <dimension ref="A1:T518"/>
  <sheetViews>
    <sheetView tabSelected="1" workbookViewId="0">
      <selection activeCell="W20" sqref="W20"/>
    </sheetView>
  </sheetViews>
  <sheetFormatPr baseColWidth="10" defaultColWidth="13.85546875" defaultRowHeight="12.75" x14ac:dyDescent="0.2"/>
  <cols>
    <col min="1" max="2" width="13.85546875" style="3"/>
    <col min="3" max="3" width="28.7109375" style="3" bestFit="1" customWidth="1"/>
    <col min="4" max="7" width="13.85546875" style="73"/>
    <col min="8" max="8" width="13.85546875" style="3" hidden="1" customWidth="1"/>
    <col min="9" max="9" width="30.5703125" style="4" hidden="1" customWidth="1"/>
    <col min="10" max="10" width="13.85546875" style="3" hidden="1" customWidth="1"/>
    <col min="11" max="11" width="8" style="3" hidden="1" customWidth="1"/>
    <col min="12" max="12" width="11.28515625" style="3" hidden="1" customWidth="1"/>
    <col min="13" max="13" width="9.140625" style="3" hidden="1" customWidth="1"/>
    <col min="14" max="14" width="11.28515625" style="3" hidden="1" customWidth="1"/>
    <col min="15" max="15" width="13.85546875" style="3" hidden="1" customWidth="1"/>
    <col min="16" max="17" width="0" style="3" hidden="1" customWidth="1"/>
    <col min="18" max="18" width="9.85546875" style="3" hidden="1" customWidth="1"/>
    <col min="19" max="20" width="0" style="3" hidden="1" customWidth="1"/>
    <col min="21" max="258" width="13.85546875" style="3"/>
    <col min="259" max="259" width="28.7109375" style="3" bestFit="1" customWidth="1"/>
    <col min="260" max="263" width="13.85546875" style="3"/>
    <col min="264" max="276" width="0" style="3" hidden="1" customWidth="1"/>
    <col min="277" max="514" width="13.85546875" style="3"/>
    <col min="515" max="515" width="28.7109375" style="3" bestFit="1" customWidth="1"/>
    <col min="516" max="519" width="13.85546875" style="3"/>
    <col min="520" max="532" width="0" style="3" hidden="1" customWidth="1"/>
    <col min="533" max="770" width="13.85546875" style="3"/>
    <col min="771" max="771" width="28.7109375" style="3" bestFit="1" customWidth="1"/>
    <col min="772" max="775" width="13.85546875" style="3"/>
    <col min="776" max="788" width="0" style="3" hidden="1" customWidth="1"/>
    <col min="789" max="1026" width="13.85546875" style="3"/>
    <col min="1027" max="1027" width="28.7109375" style="3" bestFit="1" customWidth="1"/>
    <col min="1028" max="1031" width="13.85546875" style="3"/>
    <col min="1032" max="1044" width="0" style="3" hidden="1" customWidth="1"/>
    <col min="1045" max="1282" width="13.85546875" style="3"/>
    <col min="1283" max="1283" width="28.7109375" style="3" bestFit="1" customWidth="1"/>
    <col min="1284" max="1287" width="13.85546875" style="3"/>
    <col min="1288" max="1300" width="0" style="3" hidden="1" customWidth="1"/>
    <col min="1301" max="1538" width="13.85546875" style="3"/>
    <col min="1539" max="1539" width="28.7109375" style="3" bestFit="1" customWidth="1"/>
    <col min="1540" max="1543" width="13.85546875" style="3"/>
    <col min="1544" max="1556" width="0" style="3" hidden="1" customWidth="1"/>
    <col min="1557" max="1794" width="13.85546875" style="3"/>
    <col min="1795" max="1795" width="28.7109375" style="3" bestFit="1" customWidth="1"/>
    <col min="1796" max="1799" width="13.85546875" style="3"/>
    <col min="1800" max="1812" width="0" style="3" hidden="1" customWidth="1"/>
    <col min="1813" max="2050" width="13.85546875" style="3"/>
    <col min="2051" max="2051" width="28.7109375" style="3" bestFit="1" customWidth="1"/>
    <col min="2052" max="2055" width="13.85546875" style="3"/>
    <col min="2056" max="2068" width="0" style="3" hidden="1" customWidth="1"/>
    <col min="2069" max="2306" width="13.85546875" style="3"/>
    <col min="2307" max="2307" width="28.7109375" style="3" bestFit="1" customWidth="1"/>
    <col min="2308" max="2311" width="13.85546875" style="3"/>
    <col min="2312" max="2324" width="0" style="3" hidden="1" customWidth="1"/>
    <col min="2325" max="2562" width="13.85546875" style="3"/>
    <col min="2563" max="2563" width="28.7109375" style="3" bestFit="1" customWidth="1"/>
    <col min="2564" max="2567" width="13.85546875" style="3"/>
    <col min="2568" max="2580" width="0" style="3" hidden="1" customWidth="1"/>
    <col min="2581" max="2818" width="13.85546875" style="3"/>
    <col min="2819" max="2819" width="28.7109375" style="3" bestFit="1" customWidth="1"/>
    <col min="2820" max="2823" width="13.85546875" style="3"/>
    <col min="2824" max="2836" width="0" style="3" hidden="1" customWidth="1"/>
    <col min="2837" max="3074" width="13.85546875" style="3"/>
    <col min="3075" max="3075" width="28.7109375" style="3" bestFit="1" customWidth="1"/>
    <col min="3076" max="3079" width="13.85546875" style="3"/>
    <col min="3080" max="3092" width="0" style="3" hidden="1" customWidth="1"/>
    <col min="3093" max="3330" width="13.85546875" style="3"/>
    <col min="3331" max="3331" width="28.7109375" style="3" bestFit="1" customWidth="1"/>
    <col min="3332" max="3335" width="13.85546875" style="3"/>
    <col min="3336" max="3348" width="0" style="3" hidden="1" customWidth="1"/>
    <col min="3349" max="3586" width="13.85546875" style="3"/>
    <col min="3587" max="3587" width="28.7109375" style="3" bestFit="1" customWidth="1"/>
    <col min="3588" max="3591" width="13.85546875" style="3"/>
    <col min="3592" max="3604" width="0" style="3" hidden="1" customWidth="1"/>
    <col min="3605" max="3842" width="13.85546875" style="3"/>
    <col min="3843" max="3843" width="28.7109375" style="3" bestFit="1" customWidth="1"/>
    <col min="3844" max="3847" width="13.85546875" style="3"/>
    <col min="3848" max="3860" width="0" style="3" hidden="1" customWidth="1"/>
    <col min="3861" max="4098" width="13.85546875" style="3"/>
    <col min="4099" max="4099" width="28.7109375" style="3" bestFit="1" customWidth="1"/>
    <col min="4100" max="4103" width="13.85546875" style="3"/>
    <col min="4104" max="4116" width="0" style="3" hidden="1" customWidth="1"/>
    <col min="4117" max="4354" width="13.85546875" style="3"/>
    <col min="4355" max="4355" width="28.7109375" style="3" bestFit="1" customWidth="1"/>
    <col min="4356" max="4359" width="13.85546875" style="3"/>
    <col min="4360" max="4372" width="0" style="3" hidden="1" customWidth="1"/>
    <col min="4373" max="4610" width="13.85546875" style="3"/>
    <col min="4611" max="4611" width="28.7109375" style="3" bestFit="1" customWidth="1"/>
    <col min="4612" max="4615" width="13.85546875" style="3"/>
    <col min="4616" max="4628" width="0" style="3" hidden="1" customWidth="1"/>
    <col min="4629" max="4866" width="13.85546875" style="3"/>
    <col min="4867" max="4867" width="28.7109375" style="3" bestFit="1" customWidth="1"/>
    <col min="4868" max="4871" width="13.85546875" style="3"/>
    <col min="4872" max="4884" width="0" style="3" hidden="1" customWidth="1"/>
    <col min="4885" max="5122" width="13.85546875" style="3"/>
    <col min="5123" max="5123" width="28.7109375" style="3" bestFit="1" customWidth="1"/>
    <col min="5124" max="5127" width="13.85546875" style="3"/>
    <col min="5128" max="5140" width="0" style="3" hidden="1" customWidth="1"/>
    <col min="5141" max="5378" width="13.85546875" style="3"/>
    <col min="5379" max="5379" width="28.7109375" style="3" bestFit="1" customWidth="1"/>
    <col min="5380" max="5383" width="13.85546875" style="3"/>
    <col min="5384" max="5396" width="0" style="3" hidden="1" customWidth="1"/>
    <col min="5397" max="5634" width="13.85546875" style="3"/>
    <col min="5635" max="5635" width="28.7109375" style="3" bestFit="1" customWidth="1"/>
    <col min="5636" max="5639" width="13.85546875" style="3"/>
    <col min="5640" max="5652" width="0" style="3" hidden="1" customWidth="1"/>
    <col min="5653" max="5890" width="13.85546875" style="3"/>
    <col min="5891" max="5891" width="28.7109375" style="3" bestFit="1" customWidth="1"/>
    <col min="5892" max="5895" width="13.85546875" style="3"/>
    <col min="5896" max="5908" width="0" style="3" hidden="1" customWidth="1"/>
    <col min="5909" max="6146" width="13.85546875" style="3"/>
    <col min="6147" max="6147" width="28.7109375" style="3" bestFit="1" customWidth="1"/>
    <col min="6148" max="6151" width="13.85546875" style="3"/>
    <col min="6152" max="6164" width="0" style="3" hidden="1" customWidth="1"/>
    <col min="6165" max="6402" width="13.85546875" style="3"/>
    <col min="6403" max="6403" width="28.7109375" style="3" bestFit="1" customWidth="1"/>
    <col min="6404" max="6407" width="13.85546875" style="3"/>
    <col min="6408" max="6420" width="0" style="3" hidden="1" customWidth="1"/>
    <col min="6421" max="6658" width="13.85546875" style="3"/>
    <col min="6659" max="6659" width="28.7109375" style="3" bestFit="1" customWidth="1"/>
    <col min="6660" max="6663" width="13.85546875" style="3"/>
    <col min="6664" max="6676" width="0" style="3" hidden="1" customWidth="1"/>
    <col min="6677" max="6914" width="13.85546875" style="3"/>
    <col min="6915" max="6915" width="28.7109375" style="3" bestFit="1" customWidth="1"/>
    <col min="6916" max="6919" width="13.85546875" style="3"/>
    <col min="6920" max="6932" width="0" style="3" hidden="1" customWidth="1"/>
    <col min="6933" max="7170" width="13.85546875" style="3"/>
    <col min="7171" max="7171" width="28.7109375" style="3" bestFit="1" customWidth="1"/>
    <col min="7172" max="7175" width="13.85546875" style="3"/>
    <col min="7176" max="7188" width="0" style="3" hidden="1" customWidth="1"/>
    <col min="7189" max="7426" width="13.85546875" style="3"/>
    <col min="7427" max="7427" width="28.7109375" style="3" bestFit="1" customWidth="1"/>
    <col min="7428" max="7431" width="13.85546875" style="3"/>
    <col min="7432" max="7444" width="0" style="3" hidden="1" customWidth="1"/>
    <col min="7445" max="7682" width="13.85546875" style="3"/>
    <col min="7683" max="7683" width="28.7109375" style="3" bestFit="1" customWidth="1"/>
    <col min="7684" max="7687" width="13.85546875" style="3"/>
    <col min="7688" max="7700" width="0" style="3" hidden="1" customWidth="1"/>
    <col min="7701" max="7938" width="13.85546875" style="3"/>
    <col min="7939" max="7939" width="28.7109375" style="3" bestFit="1" customWidth="1"/>
    <col min="7940" max="7943" width="13.85546875" style="3"/>
    <col min="7944" max="7956" width="0" style="3" hidden="1" customWidth="1"/>
    <col min="7957" max="8194" width="13.85546875" style="3"/>
    <col min="8195" max="8195" width="28.7109375" style="3" bestFit="1" customWidth="1"/>
    <col min="8196" max="8199" width="13.85546875" style="3"/>
    <col min="8200" max="8212" width="0" style="3" hidden="1" customWidth="1"/>
    <col min="8213" max="8450" width="13.85546875" style="3"/>
    <col min="8451" max="8451" width="28.7109375" style="3" bestFit="1" customWidth="1"/>
    <col min="8452" max="8455" width="13.85546875" style="3"/>
    <col min="8456" max="8468" width="0" style="3" hidden="1" customWidth="1"/>
    <col min="8469" max="8706" width="13.85546875" style="3"/>
    <col min="8707" max="8707" width="28.7109375" style="3" bestFit="1" customWidth="1"/>
    <col min="8708" max="8711" width="13.85546875" style="3"/>
    <col min="8712" max="8724" width="0" style="3" hidden="1" customWidth="1"/>
    <col min="8725" max="8962" width="13.85546875" style="3"/>
    <col min="8963" max="8963" width="28.7109375" style="3" bestFit="1" customWidth="1"/>
    <col min="8964" max="8967" width="13.85546875" style="3"/>
    <col min="8968" max="8980" width="0" style="3" hidden="1" customWidth="1"/>
    <col min="8981" max="9218" width="13.85546875" style="3"/>
    <col min="9219" max="9219" width="28.7109375" style="3" bestFit="1" customWidth="1"/>
    <col min="9220" max="9223" width="13.85546875" style="3"/>
    <col min="9224" max="9236" width="0" style="3" hidden="1" customWidth="1"/>
    <col min="9237" max="9474" width="13.85546875" style="3"/>
    <col min="9475" max="9475" width="28.7109375" style="3" bestFit="1" customWidth="1"/>
    <col min="9476" max="9479" width="13.85546875" style="3"/>
    <col min="9480" max="9492" width="0" style="3" hidden="1" customWidth="1"/>
    <col min="9493" max="9730" width="13.85546875" style="3"/>
    <col min="9731" max="9731" width="28.7109375" style="3" bestFit="1" customWidth="1"/>
    <col min="9732" max="9735" width="13.85546875" style="3"/>
    <col min="9736" max="9748" width="0" style="3" hidden="1" customWidth="1"/>
    <col min="9749" max="9986" width="13.85546875" style="3"/>
    <col min="9987" max="9987" width="28.7109375" style="3" bestFit="1" customWidth="1"/>
    <col min="9988" max="9991" width="13.85546875" style="3"/>
    <col min="9992" max="10004" width="0" style="3" hidden="1" customWidth="1"/>
    <col min="10005" max="10242" width="13.85546875" style="3"/>
    <col min="10243" max="10243" width="28.7109375" style="3" bestFit="1" customWidth="1"/>
    <col min="10244" max="10247" width="13.85546875" style="3"/>
    <col min="10248" max="10260" width="0" style="3" hidden="1" customWidth="1"/>
    <col min="10261" max="10498" width="13.85546875" style="3"/>
    <col min="10499" max="10499" width="28.7109375" style="3" bestFit="1" customWidth="1"/>
    <col min="10500" max="10503" width="13.85546875" style="3"/>
    <col min="10504" max="10516" width="0" style="3" hidden="1" customWidth="1"/>
    <col min="10517" max="10754" width="13.85546875" style="3"/>
    <col min="10755" max="10755" width="28.7109375" style="3" bestFit="1" customWidth="1"/>
    <col min="10756" max="10759" width="13.85546875" style="3"/>
    <col min="10760" max="10772" width="0" style="3" hidden="1" customWidth="1"/>
    <col min="10773" max="11010" width="13.85546875" style="3"/>
    <col min="11011" max="11011" width="28.7109375" style="3" bestFit="1" customWidth="1"/>
    <col min="11012" max="11015" width="13.85546875" style="3"/>
    <col min="11016" max="11028" width="0" style="3" hidden="1" customWidth="1"/>
    <col min="11029" max="11266" width="13.85546875" style="3"/>
    <col min="11267" max="11267" width="28.7109375" style="3" bestFit="1" customWidth="1"/>
    <col min="11268" max="11271" width="13.85546875" style="3"/>
    <col min="11272" max="11284" width="0" style="3" hidden="1" customWidth="1"/>
    <col min="11285" max="11522" width="13.85546875" style="3"/>
    <col min="11523" max="11523" width="28.7109375" style="3" bestFit="1" customWidth="1"/>
    <col min="11524" max="11527" width="13.85546875" style="3"/>
    <col min="11528" max="11540" width="0" style="3" hidden="1" customWidth="1"/>
    <col min="11541" max="11778" width="13.85546875" style="3"/>
    <col min="11779" max="11779" width="28.7109375" style="3" bestFit="1" customWidth="1"/>
    <col min="11780" max="11783" width="13.85546875" style="3"/>
    <col min="11784" max="11796" width="0" style="3" hidden="1" customWidth="1"/>
    <col min="11797" max="12034" width="13.85546875" style="3"/>
    <col min="12035" max="12035" width="28.7109375" style="3" bestFit="1" customWidth="1"/>
    <col min="12036" max="12039" width="13.85546875" style="3"/>
    <col min="12040" max="12052" width="0" style="3" hidden="1" customWidth="1"/>
    <col min="12053" max="12290" width="13.85546875" style="3"/>
    <col min="12291" max="12291" width="28.7109375" style="3" bestFit="1" customWidth="1"/>
    <col min="12292" max="12295" width="13.85546875" style="3"/>
    <col min="12296" max="12308" width="0" style="3" hidden="1" customWidth="1"/>
    <col min="12309" max="12546" width="13.85546875" style="3"/>
    <col min="12547" max="12547" width="28.7109375" style="3" bestFit="1" customWidth="1"/>
    <col min="12548" max="12551" width="13.85546875" style="3"/>
    <col min="12552" max="12564" width="0" style="3" hidden="1" customWidth="1"/>
    <col min="12565" max="12802" width="13.85546875" style="3"/>
    <col min="12803" max="12803" width="28.7109375" style="3" bestFit="1" customWidth="1"/>
    <col min="12804" max="12807" width="13.85546875" style="3"/>
    <col min="12808" max="12820" width="0" style="3" hidden="1" customWidth="1"/>
    <col min="12821" max="13058" width="13.85546875" style="3"/>
    <col min="13059" max="13059" width="28.7109375" style="3" bestFit="1" customWidth="1"/>
    <col min="13060" max="13063" width="13.85546875" style="3"/>
    <col min="13064" max="13076" width="0" style="3" hidden="1" customWidth="1"/>
    <col min="13077" max="13314" width="13.85546875" style="3"/>
    <col min="13315" max="13315" width="28.7109375" style="3" bestFit="1" customWidth="1"/>
    <col min="13316" max="13319" width="13.85546875" style="3"/>
    <col min="13320" max="13332" width="0" style="3" hidden="1" customWidth="1"/>
    <col min="13333" max="13570" width="13.85546875" style="3"/>
    <col min="13571" max="13571" width="28.7109375" style="3" bestFit="1" customWidth="1"/>
    <col min="13572" max="13575" width="13.85546875" style="3"/>
    <col min="13576" max="13588" width="0" style="3" hidden="1" customWidth="1"/>
    <col min="13589" max="13826" width="13.85546875" style="3"/>
    <col min="13827" max="13827" width="28.7109375" style="3" bestFit="1" customWidth="1"/>
    <col min="13828" max="13831" width="13.85546875" style="3"/>
    <col min="13832" max="13844" width="0" style="3" hidden="1" customWidth="1"/>
    <col min="13845" max="14082" width="13.85546875" style="3"/>
    <col min="14083" max="14083" width="28.7109375" style="3" bestFit="1" customWidth="1"/>
    <col min="14084" max="14087" width="13.85546875" style="3"/>
    <col min="14088" max="14100" width="0" style="3" hidden="1" customWidth="1"/>
    <col min="14101" max="14338" width="13.85546875" style="3"/>
    <col min="14339" max="14339" width="28.7109375" style="3" bestFit="1" customWidth="1"/>
    <col min="14340" max="14343" width="13.85546875" style="3"/>
    <col min="14344" max="14356" width="0" style="3" hidden="1" customWidth="1"/>
    <col min="14357" max="14594" width="13.85546875" style="3"/>
    <col min="14595" max="14595" width="28.7109375" style="3" bestFit="1" customWidth="1"/>
    <col min="14596" max="14599" width="13.85546875" style="3"/>
    <col min="14600" max="14612" width="0" style="3" hidden="1" customWidth="1"/>
    <col min="14613" max="14850" width="13.85546875" style="3"/>
    <col min="14851" max="14851" width="28.7109375" style="3" bestFit="1" customWidth="1"/>
    <col min="14852" max="14855" width="13.85546875" style="3"/>
    <col min="14856" max="14868" width="0" style="3" hidden="1" customWidth="1"/>
    <col min="14869" max="15106" width="13.85546875" style="3"/>
    <col min="15107" max="15107" width="28.7109375" style="3" bestFit="1" customWidth="1"/>
    <col min="15108" max="15111" width="13.85546875" style="3"/>
    <col min="15112" max="15124" width="0" style="3" hidden="1" customWidth="1"/>
    <col min="15125" max="15362" width="13.85546875" style="3"/>
    <col min="15363" max="15363" width="28.7109375" style="3" bestFit="1" customWidth="1"/>
    <col min="15364" max="15367" width="13.85546875" style="3"/>
    <col min="15368" max="15380" width="0" style="3" hidden="1" customWidth="1"/>
    <col min="15381" max="15618" width="13.85546875" style="3"/>
    <col min="15619" max="15619" width="28.7109375" style="3" bestFit="1" customWidth="1"/>
    <col min="15620" max="15623" width="13.85546875" style="3"/>
    <col min="15624" max="15636" width="0" style="3" hidden="1" customWidth="1"/>
    <col min="15637" max="15874" width="13.85546875" style="3"/>
    <col min="15875" max="15875" width="28.7109375" style="3" bestFit="1" customWidth="1"/>
    <col min="15876" max="15879" width="13.85546875" style="3"/>
    <col min="15880" max="15892" width="0" style="3" hidden="1" customWidth="1"/>
    <col min="15893" max="16130" width="13.85546875" style="3"/>
    <col min="16131" max="16131" width="28.7109375" style="3" bestFit="1" customWidth="1"/>
    <col min="16132" max="16135" width="13.85546875" style="3"/>
    <col min="16136" max="16148" width="0" style="3" hidden="1" customWidth="1"/>
    <col min="16149" max="16384" width="13.85546875" style="3"/>
  </cols>
  <sheetData>
    <row r="1" spans="1:19" x14ac:dyDescent="0.2">
      <c r="A1" s="1"/>
      <c r="B1" s="1"/>
      <c r="C1" s="1"/>
      <c r="D1" s="2"/>
      <c r="E1" s="2"/>
      <c r="F1" s="2"/>
      <c r="G1" s="2"/>
    </row>
    <row r="2" spans="1:19" x14ac:dyDescent="0.2">
      <c r="A2" s="1"/>
      <c r="B2" s="1"/>
      <c r="C2" s="1"/>
      <c r="D2" s="2"/>
      <c r="E2" s="2"/>
      <c r="F2" s="2"/>
      <c r="G2" s="2"/>
    </row>
    <row r="3" spans="1:19" x14ac:dyDescent="0.2">
      <c r="A3" s="1"/>
      <c r="B3" s="1"/>
      <c r="C3" s="1"/>
      <c r="D3" s="2"/>
      <c r="E3" s="2"/>
      <c r="F3" s="2"/>
      <c r="G3" s="2"/>
    </row>
    <row r="4" spans="1:19" ht="16.5" customHeight="1" x14ac:dyDescent="0.3">
      <c r="A4" s="5" t="s">
        <v>0</v>
      </c>
      <c r="B4" s="5"/>
      <c r="C4" s="5"/>
      <c r="D4" s="5"/>
      <c r="E4" s="5"/>
      <c r="F4" s="5"/>
      <c r="G4" s="5"/>
    </row>
    <row r="5" spans="1:19" ht="18.75" x14ac:dyDescent="0.3">
      <c r="A5" s="5" t="s">
        <v>1</v>
      </c>
      <c r="B5" s="5"/>
      <c r="C5" s="5"/>
      <c r="D5" s="5"/>
      <c r="E5" s="5"/>
      <c r="F5" s="5"/>
      <c r="G5" s="5"/>
    </row>
    <row r="6" spans="1:19" ht="18.75" x14ac:dyDescent="0.3">
      <c r="A6" s="6" t="s">
        <v>2</v>
      </c>
      <c r="B6" s="6"/>
      <c r="C6" s="6"/>
      <c r="D6" s="6"/>
      <c r="E6" s="6"/>
      <c r="F6" s="6"/>
      <c r="G6" s="6"/>
    </row>
    <row r="7" spans="1:19" x14ac:dyDescent="0.2">
      <c r="A7" s="1"/>
      <c r="B7" s="1"/>
      <c r="C7" s="1"/>
      <c r="D7" s="2"/>
      <c r="E7" s="2"/>
      <c r="F7" s="2"/>
      <c r="G7" s="2"/>
    </row>
    <row r="8" spans="1:19" ht="15.75" x14ac:dyDescent="0.25">
      <c r="A8" s="7" t="s">
        <v>3</v>
      </c>
      <c r="B8" s="8">
        <v>5150</v>
      </c>
      <c r="C8" s="9"/>
      <c r="D8" s="10" t="s">
        <v>4</v>
      </c>
      <c r="E8" s="11">
        <v>1</v>
      </c>
      <c r="F8" s="2"/>
      <c r="G8" s="2"/>
    </row>
    <row r="9" spans="1:19" ht="15.75" x14ac:dyDescent="0.25">
      <c r="A9" s="7" t="s">
        <v>5</v>
      </c>
      <c r="B9" s="11">
        <v>1</v>
      </c>
      <c r="C9" s="12"/>
      <c r="D9" s="10" t="s">
        <v>6</v>
      </c>
      <c r="E9" s="8">
        <v>1</v>
      </c>
      <c r="F9" s="2"/>
      <c r="G9" s="2"/>
    </row>
    <row r="10" spans="1:19" ht="15.75" x14ac:dyDescent="0.25">
      <c r="A10" s="7"/>
      <c r="B10" s="7"/>
      <c r="C10" s="12"/>
      <c r="D10" s="10"/>
      <c r="E10" s="13"/>
      <c r="F10" s="2"/>
      <c r="G10" s="2"/>
    </row>
    <row r="11" spans="1:19" ht="15.75" x14ac:dyDescent="0.25">
      <c r="A11" s="7" t="s">
        <v>7</v>
      </c>
      <c r="B11" s="14" t="s">
        <v>8</v>
      </c>
      <c r="C11" s="15"/>
      <c r="D11" s="15"/>
      <c r="E11" s="16"/>
      <c r="F11" s="16"/>
      <c r="G11" s="2"/>
    </row>
    <row r="12" spans="1:19" ht="31.5" x14ac:dyDescent="0.2">
      <c r="A12" s="17" t="s">
        <v>9</v>
      </c>
      <c r="B12" s="18" t="s">
        <v>10</v>
      </c>
      <c r="C12" s="19" t="s">
        <v>11</v>
      </c>
      <c r="D12" s="20" t="s">
        <v>12</v>
      </c>
      <c r="E12" s="21" t="s">
        <v>13</v>
      </c>
      <c r="F12" s="21" t="s">
        <v>14</v>
      </c>
      <c r="G12" s="21" t="s">
        <v>15</v>
      </c>
      <c r="H12" s="22" t="s">
        <v>16</v>
      </c>
      <c r="I12" s="23" t="s">
        <v>17</v>
      </c>
      <c r="J12" s="23" t="s">
        <v>18</v>
      </c>
      <c r="K12" s="23" t="s">
        <v>19</v>
      </c>
      <c r="L12" s="23" t="s">
        <v>20</v>
      </c>
      <c r="M12" s="23" t="s">
        <v>21</v>
      </c>
      <c r="N12" s="23" t="s">
        <v>20</v>
      </c>
      <c r="O12" s="24" t="s">
        <v>22</v>
      </c>
      <c r="P12" s="25" t="s">
        <v>23</v>
      </c>
      <c r="Q12" s="26" t="s">
        <v>24</v>
      </c>
    </row>
    <row r="13" spans="1:19" ht="15" x14ac:dyDescent="0.25">
      <c r="A13" s="27" t="s">
        <v>25</v>
      </c>
      <c r="B13" s="28" t="s">
        <v>26</v>
      </c>
      <c r="C13" s="29" t="s">
        <v>27</v>
      </c>
      <c r="D13" s="30">
        <v>3908.2795999999998</v>
      </c>
      <c r="E13" s="31">
        <f>11*P13</f>
        <v>8308.0095999999994</v>
      </c>
      <c r="F13" s="32">
        <f>8.17465*P13</f>
        <v>6174.0973342399993</v>
      </c>
      <c r="G13" s="32">
        <f>+D13+E13-F13</f>
        <v>6042.1918657599999</v>
      </c>
      <c r="H13" s="33">
        <f>+G13-Q13</f>
        <v>3.0657600000267848E-3</v>
      </c>
      <c r="I13" t="s">
        <v>27</v>
      </c>
      <c r="J13" t="s">
        <v>28</v>
      </c>
      <c r="K13">
        <v>11</v>
      </c>
      <c r="L13" s="31">
        <f t="shared" ref="L13:L76" si="0">+K13*P13</f>
        <v>8308.0095999999994</v>
      </c>
      <c r="M13">
        <v>3</v>
      </c>
      <c r="N13" s="31">
        <f t="shared" ref="N13:N18" si="1">+M13*P13</f>
        <v>2265.8208</v>
      </c>
      <c r="O13" s="34">
        <v>8</v>
      </c>
      <c r="P13" s="35">
        <v>755.27359999999999</v>
      </c>
      <c r="Q13" s="36">
        <v>6042.1887999999999</v>
      </c>
      <c r="R13" s="37">
        <f t="shared" ref="R13:R18" si="2">+L13-N13</f>
        <v>6042.1887999999999</v>
      </c>
      <c r="S13" s="37">
        <f>+L13-N13</f>
        <v>6042.1887999999999</v>
      </c>
    </row>
    <row r="14" spans="1:19" s="1" customFormat="1" ht="15" x14ac:dyDescent="0.25">
      <c r="A14" s="27" t="s">
        <v>25</v>
      </c>
      <c r="B14" s="28" t="s">
        <v>29</v>
      </c>
      <c r="C14" s="29" t="s">
        <v>30</v>
      </c>
      <c r="D14" s="30">
        <v>1253.0009999999984</v>
      </c>
      <c r="E14" s="38">
        <f>+K14*P14</f>
        <v>3760.4600999999998</v>
      </c>
      <c r="F14" s="32">
        <f>23.9965*P14</f>
        <v>3342.14373295</v>
      </c>
      <c r="G14" s="32">
        <f t="shared" ref="G14:G77" si="3">+D14+E14-F14</f>
        <v>1671.3173670499987</v>
      </c>
      <c r="H14" s="33">
        <f t="shared" ref="H14:H77" si="4">+G14-Q14</f>
        <v>1.7670499989890232E-3</v>
      </c>
      <c r="I14" t="s">
        <v>30</v>
      </c>
      <c r="J14" t="s">
        <v>28</v>
      </c>
      <c r="K14">
        <v>27</v>
      </c>
      <c r="L14" s="31">
        <f t="shared" si="0"/>
        <v>3760.4600999999998</v>
      </c>
      <c r="M14">
        <v>15</v>
      </c>
      <c r="N14" s="31">
        <f t="shared" si="1"/>
        <v>2089.1444999999999</v>
      </c>
      <c r="O14" s="34">
        <v>12</v>
      </c>
      <c r="P14" s="35">
        <v>139.27629999999999</v>
      </c>
      <c r="Q14" s="36">
        <v>1671.3155999999997</v>
      </c>
      <c r="R14" s="37">
        <f t="shared" si="2"/>
        <v>1671.3155999999999</v>
      </c>
    </row>
    <row r="15" spans="1:19" s="1" customFormat="1" ht="15" x14ac:dyDescent="0.25">
      <c r="A15" s="27" t="s">
        <v>25</v>
      </c>
      <c r="B15" s="28" t="s">
        <v>26</v>
      </c>
      <c r="C15" s="29" t="s">
        <v>31</v>
      </c>
      <c r="D15" s="30">
        <v>10364.25</v>
      </c>
      <c r="E15" s="38">
        <f>+K15*P15</f>
        <v>10364.242200000001</v>
      </c>
      <c r="F15" s="32">
        <f>133.00003*P15</f>
        <v>17672.365686247002</v>
      </c>
      <c r="G15" s="32">
        <f t="shared" si="3"/>
        <v>3056.126513752999</v>
      </c>
      <c r="H15" s="33">
        <f t="shared" si="4"/>
        <v>3.8137529986670415E-3</v>
      </c>
      <c r="I15" t="s">
        <v>31</v>
      </c>
      <c r="J15" t="s">
        <v>28</v>
      </c>
      <c r="K15">
        <v>78</v>
      </c>
      <c r="L15" s="31">
        <f t="shared" si="0"/>
        <v>10364.242200000001</v>
      </c>
      <c r="M15">
        <v>55</v>
      </c>
      <c r="N15" s="31">
        <f t="shared" si="1"/>
        <v>7308.1194999999998</v>
      </c>
      <c r="O15" s="34">
        <v>23</v>
      </c>
      <c r="P15" s="35">
        <v>132.8749</v>
      </c>
      <c r="Q15" s="36">
        <v>3056.1227000000003</v>
      </c>
      <c r="R15" s="37">
        <f t="shared" si="2"/>
        <v>3056.1227000000008</v>
      </c>
    </row>
    <row r="16" spans="1:19" s="1" customFormat="1" ht="15" x14ac:dyDescent="0.25">
      <c r="A16" s="27" t="s">
        <v>25</v>
      </c>
      <c r="B16" s="28" t="s">
        <v>32</v>
      </c>
      <c r="C16" s="29" t="s">
        <v>33</v>
      </c>
      <c r="D16" s="30">
        <v>2801.0992000000006</v>
      </c>
      <c r="E16" s="38">
        <f>+K16*P16</f>
        <v>4394.0703999999996</v>
      </c>
      <c r="F16" s="32">
        <f>9.09978*P16</f>
        <v>4998.1342430639997</v>
      </c>
      <c r="G16" s="32">
        <f t="shared" si="3"/>
        <v>2197.0353569360004</v>
      </c>
      <c r="H16" s="33">
        <f t="shared" si="4"/>
        <v>1.5693600062149926E-4</v>
      </c>
      <c r="I16" t="s">
        <v>33</v>
      </c>
      <c r="J16" t="s">
        <v>34</v>
      </c>
      <c r="K16">
        <v>8</v>
      </c>
      <c r="L16" s="31">
        <f t="shared" si="0"/>
        <v>4394.0703999999996</v>
      </c>
      <c r="M16">
        <v>4</v>
      </c>
      <c r="N16" s="31">
        <f t="shared" si="1"/>
        <v>2197.0351999999998</v>
      </c>
      <c r="O16" s="34">
        <v>4</v>
      </c>
      <c r="P16" s="35">
        <v>549.25879999999995</v>
      </c>
      <c r="Q16" s="36">
        <v>2197.0351999999998</v>
      </c>
      <c r="R16" s="37">
        <f t="shared" si="2"/>
        <v>2197.0351999999998</v>
      </c>
    </row>
    <row r="17" spans="1:18" s="1" customFormat="1" ht="15" x14ac:dyDescent="0.25">
      <c r="A17" s="27" t="s">
        <v>25</v>
      </c>
      <c r="B17" s="28" t="s">
        <v>29</v>
      </c>
      <c r="C17" s="29" t="s">
        <v>35</v>
      </c>
      <c r="D17" s="30">
        <v>23550.777499999997</v>
      </c>
      <c r="E17" s="38">
        <f>+K17*P17</f>
        <v>23550.6423</v>
      </c>
      <c r="F17" s="32">
        <f>78.0003*P17</f>
        <v>36018.76793319</v>
      </c>
      <c r="G17" s="32">
        <f t="shared" si="3"/>
        <v>11082.651866809996</v>
      </c>
      <c r="H17" s="33">
        <f t="shared" si="4"/>
        <v>-3.3331900067423703E-3</v>
      </c>
      <c r="I17" t="s">
        <v>35</v>
      </c>
      <c r="J17" t="s">
        <v>28</v>
      </c>
      <c r="K17">
        <v>51</v>
      </c>
      <c r="L17" s="31">
        <f t="shared" si="0"/>
        <v>23550.6423</v>
      </c>
      <c r="M17">
        <v>27</v>
      </c>
      <c r="N17" s="31">
        <f t="shared" si="1"/>
        <v>12467.9871</v>
      </c>
      <c r="O17" s="34">
        <v>24</v>
      </c>
      <c r="P17" s="35">
        <v>461.77730000000003</v>
      </c>
      <c r="Q17" s="36">
        <v>11082.655200000003</v>
      </c>
      <c r="R17" s="37">
        <f t="shared" si="2"/>
        <v>11082.655199999999</v>
      </c>
    </row>
    <row r="18" spans="1:18" s="1" customFormat="1" ht="15" x14ac:dyDescent="0.25">
      <c r="A18" s="27" t="s">
        <v>25</v>
      </c>
      <c r="B18" s="28" t="s">
        <v>29</v>
      </c>
      <c r="C18" s="29" t="s">
        <v>36</v>
      </c>
      <c r="D18" s="30">
        <v>4318.6499999999996</v>
      </c>
      <c r="E18" s="38">
        <f>+K18*P18</f>
        <v>4318.6500000000005</v>
      </c>
      <c r="F18" s="32">
        <f>7*P18</f>
        <v>4318.6500000000005</v>
      </c>
      <c r="G18" s="32">
        <f t="shared" si="3"/>
        <v>4318.6499999999987</v>
      </c>
      <c r="H18" s="33">
        <f t="shared" si="4"/>
        <v>0</v>
      </c>
      <c r="I18" t="s">
        <v>36</v>
      </c>
      <c r="J18" t="s">
        <v>28</v>
      </c>
      <c r="K18">
        <v>7</v>
      </c>
      <c r="L18" s="31">
        <f t="shared" si="0"/>
        <v>4318.6500000000005</v>
      </c>
      <c r="M18">
        <v>0</v>
      </c>
      <c r="N18" s="31">
        <f t="shared" si="1"/>
        <v>0</v>
      </c>
      <c r="O18" s="34">
        <v>7</v>
      </c>
      <c r="P18" s="35">
        <v>616.95000000000005</v>
      </c>
      <c r="Q18" s="36">
        <v>4318.6500000000005</v>
      </c>
      <c r="R18" s="37">
        <f t="shared" si="2"/>
        <v>4318.6500000000005</v>
      </c>
    </row>
    <row r="19" spans="1:18" s="1" customFormat="1" ht="15" x14ac:dyDescent="0.25">
      <c r="A19" s="27" t="s">
        <v>25</v>
      </c>
      <c r="B19" s="28" t="s">
        <v>29</v>
      </c>
      <c r="C19" s="29" t="s">
        <v>37</v>
      </c>
      <c r="D19" s="30">
        <v>710.01020000000062</v>
      </c>
      <c r="E19" s="38">
        <f>48*91.55+0.01</f>
        <v>4394.41</v>
      </c>
      <c r="F19" s="32">
        <f>15.7555*91.55</f>
        <v>1442.416025</v>
      </c>
      <c r="G19" s="32">
        <f t="shared" si="3"/>
        <v>3662.0041750000005</v>
      </c>
      <c r="H19" s="33">
        <f t="shared" si="4"/>
        <v>-3.8249999993240635E-3</v>
      </c>
      <c r="I19" t="s">
        <v>37</v>
      </c>
      <c r="J19" t="s">
        <v>38</v>
      </c>
      <c r="K19">
        <v>49</v>
      </c>
      <c r="L19" s="31">
        <f t="shared" si="0"/>
        <v>4485.9598000000005</v>
      </c>
      <c r="M19">
        <v>9</v>
      </c>
      <c r="N19" s="31">
        <f>+M19*P19</f>
        <v>823.95180000000005</v>
      </c>
      <c r="O19" s="34">
        <v>40</v>
      </c>
      <c r="P19" s="35">
        <v>91.550200000000004</v>
      </c>
      <c r="Q19" s="36">
        <v>3662.0079999999998</v>
      </c>
      <c r="R19" s="37">
        <f>+L19-N19</f>
        <v>3662.0080000000007</v>
      </c>
    </row>
    <row r="20" spans="1:18" s="1" customFormat="1" ht="15" x14ac:dyDescent="0.25">
      <c r="A20" s="27" t="s">
        <v>25</v>
      </c>
      <c r="B20" s="28" t="s">
        <v>26</v>
      </c>
      <c r="C20" s="29" t="s">
        <v>39</v>
      </c>
      <c r="D20" s="30">
        <v>6838.4400000000023</v>
      </c>
      <c r="E20" s="38">
        <f>+K20*P20</f>
        <v>10463.4594</v>
      </c>
      <c r="F20" s="32">
        <f>93.362999*P20</f>
        <v>13201.3506689019</v>
      </c>
      <c r="G20" s="32">
        <f t="shared" si="3"/>
        <v>4100.5487310981025</v>
      </c>
      <c r="H20" s="33">
        <f t="shared" si="4"/>
        <v>3.8310981026370428E-3</v>
      </c>
      <c r="I20" t="s">
        <v>39</v>
      </c>
      <c r="J20" t="s">
        <v>40</v>
      </c>
      <c r="K20">
        <v>74</v>
      </c>
      <c r="L20" s="31">
        <f t="shared" si="0"/>
        <v>10463.4594</v>
      </c>
      <c r="M20">
        <v>45</v>
      </c>
      <c r="N20" s="31">
        <f t="shared" ref="N20:N83" si="5">+M20*P20</f>
        <v>6362.9144999999999</v>
      </c>
      <c r="O20" s="34">
        <v>29</v>
      </c>
      <c r="P20" s="35">
        <v>141.3981</v>
      </c>
      <c r="Q20" s="36">
        <v>4100.5448999999999</v>
      </c>
      <c r="R20" s="37">
        <f t="shared" ref="R20:R83" si="6">+L20-N20</f>
        <v>4100.5448999999999</v>
      </c>
    </row>
    <row r="21" spans="1:18" s="1" customFormat="1" ht="15" x14ac:dyDescent="0.25">
      <c r="A21" s="27" t="s">
        <v>25</v>
      </c>
      <c r="B21" s="28" t="s">
        <v>26</v>
      </c>
      <c r="C21" s="29" t="s">
        <v>41</v>
      </c>
      <c r="D21" s="30">
        <v>4623.1814999999988</v>
      </c>
      <c r="E21" s="38">
        <f t="shared" ref="E21:E84" si="7">+K21*P21</f>
        <v>8720.4006000000008</v>
      </c>
      <c r="F21" s="32">
        <f>59.6285*P21</f>
        <v>9629.3408736500005</v>
      </c>
      <c r="G21" s="32">
        <f t="shared" si="3"/>
        <v>3714.2412263499991</v>
      </c>
      <c r="H21" s="33">
        <f t="shared" si="4"/>
        <v>-3.4736500006147253E-3</v>
      </c>
      <c r="I21" t="s">
        <v>41</v>
      </c>
      <c r="J21" t="s">
        <v>42</v>
      </c>
      <c r="K21">
        <v>54</v>
      </c>
      <c r="L21" s="31">
        <f t="shared" si="0"/>
        <v>8720.4006000000008</v>
      </c>
      <c r="M21">
        <v>31</v>
      </c>
      <c r="N21" s="31">
        <f t="shared" si="5"/>
        <v>5006.1558999999997</v>
      </c>
      <c r="O21" s="34">
        <v>23</v>
      </c>
      <c r="P21" s="35">
        <v>161.4889</v>
      </c>
      <c r="Q21" s="36">
        <v>3714.2446999999997</v>
      </c>
      <c r="R21" s="37">
        <f t="shared" si="6"/>
        <v>3714.2447000000011</v>
      </c>
    </row>
    <row r="22" spans="1:18" s="1" customFormat="1" ht="15" x14ac:dyDescent="0.25">
      <c r="A22" s="27" t="s">
        <v>25</v>
      </c>
      <c r="B22" s="28" t="s">
        <v>26</v>
      </c>
      <c r="C22" s="29" t="s">
        <v>43</v>
      </c>
      <c r="D22" s="30">
        <v>3745.119200000001</v>
      </c>
      <c r="E22" s="38">
        <f t="shared" si="7"/>
        <v>4104.0999000000002</v>
      </c>
      <c r="F22" s="32">
        <f>13.21278*P22</f>
        <v>6025.1743418579999</v>
      </c>
      <c r="G22" s="32">
        <f t="shared" si="3"/>
        <v>1824.0447581420012</v>
      </c>
      <c r="H22" s="33">
        <f t="shared" si="4"/>
        <v>3.581420012324088E-4</v>
      </c>
      <c r="I22" t="s">
        <v>43</v>
      </c>
      <c r="J22" t="s">
        <v>44</v>
      </c>
      <c r="K22">
        <v>9</v>
      </c>
      <c r="L22" s="31">
        <f t="shared" si="0"/>
        <v>4104.0999000000002</v>
      </c>
      <c r="M22">
        <v>5</v>
      </c>
      <c r="N22" s="31">
        <f t="shared" si="5"/>
        <v>2280.0554999999999</v>
      </c>
      <c r="O22" s="34">
        <v>4</v>
      </c>
      <c r="P22" s="35">
        <v>456.0111</v>
      </c>
      <c r="Q22" s="36">
        <v>1824.0444</v>
      </c>
      <c r="R22" s="37">
        <f t="shared" si="6"/>
        <v>1824.0444000000002</v>
      </c>
    </row>
    <row r="23" spans="1:18" s="1" customFormat="1" ht="15" x14ac:dyDescent="0.25">
      <c r="A23" s="27" t="s">
        <v>25</v>
      </c>
      <c r="B23" s="28" t="s">
        <v>45</v>
      </c>
      <c r="C23" s="29" t="s">
        <v>46</v>
      </c>
      <c r="D23" s="30">
        <v>3999.6000000000004</v>
      </c>
      <c r="E23" s="38">
        <f t="shared" si="7"/>
        <v>3999.6024000000002</v>
      </c>
      <c r="F23" s="32">
        <f>12.99999*P23</f>
        <v>4332.8992669980007</v>
      </c>
      <c r="G23" s="32">
        <f t="shared" si="3"/>
        <v>3666.3031330019994</v>
      </c>
      <c r="H23" s="33">
        <f t="shared" si="4"/>
        <v>9.3300199841905851E-4</v>
      </c>
      <c r="I23" t="s">
        <v>46</v>
      </c>
      <c r="J23" t="s">
        <v>28</v>
      </c>
      <c r="K23">
        <v>12</v>
      </c>
      <c r="L23" s="31">
        <f t="shared" si="0"/>
        <v>3999.6024000000002</v>
      </c>
      <c r="M23">
        <v>1</v>
      </c>
      <c r="N23" s="31">
        <f t="shared" si="5"/>
        <v>333.30020000000002</v>
      </c>
      <c r="O23" s="34">
        <v>11</v>
      </c>
      <c r="P23" s="35">
        <v>333.30020000000002</v>
      </c>
      <c r="Q23" s="36">
        <v>3666.302200000001</v>
      </c>
      <c r="R23" s="37">
        <f t="shared" si="6"/>
        <v>3666.3022000000001</v>
      </c>
    </row>
    <row r="24" spans="1:18" s="1" customFormat="1" ht="15" x14ac:dyDescent="0.25">
      <c r="A24" s="27" t="s">
        <v>25</v>
      </c>
      <c r="B24" s="28" t="s">
        <v>47</v>
      </c>
      <c r="C24" s="29" t="s">
        <v>48</v>
      </c>
      <c r="D24" s="30">
        <v>1112.4819999999995</v>
      </c>
      <c r="E24" s="38">
        <f t="shared" si="7"/>
        <v>1112.3371999999999</v>
      </c>
      <c r="F24" s="32">
        <f>47.0044*P24</f>
        <v>1537.7865495199999</v>
      </c>
      <c r="G24" s="32">
        <f t="shared" si="3"/>
        <v>687.03265047999957</v>
      </c>
      <c r="H24" s="33">
        <f t="shared" si="4"/>
        <v>8.5047999959897425E-4</v>
      </c>
      <c r="I24" t="s">
        <v>48</v>
      </c>
      <c r="J24" t="s">
        <v>44</v>
      </c>
      <c r="K24">
        <v>34</v>
      </c>
      <c r="L24" s="31">
        <f t="shared" si="0"/>
        <v>1112.3371999999999</v>
      </c>
      <c r="M24">
        <v>13</v>
      </c>
      <c r="N24" s="31">
        <f t="shared" si="5"/>
        <v>425.30540000000002</v>
      </c>
      <c r="O24" s="34">
        <v>21</v>
      </c>
      <c r="P24" s="35">
        <v>32.715800000000002</v>
      </c>
      <c r="Q24" s="36">
        <v>687.03179999999998</v>
      </c>
      <c r="R24" s="37">
        <f t="shared" si="6"/>
        <v>687.03179999999998</v>
      </c>
    </row>
    <row r="25" spans="1:18" s="1" customFormat="1" ht="15" x14ac:dyDescent="0.25">
      <c r="A25" s="27" t="s">
        <v>25</v>
      </c>
      <c r="B25" s="28" t="s">
        <v>45</v>
      </c>
      <c r="C25" s="29" t="s">
        <v>49</v>
      </c>
      <c r="D25" s="30">
        <v>2675.5863999999983</v>
      </c>
      <c r="E25" s="38">
        <f t="shared" si="7"/>
        <v>2675.5026000000003</v>
      </c>
      <c r="F25" s="32">
        <f>23.0007*P25</f>
        <v>2675.5840283400003</v>
      </c>
      <c r="G25" s="32">
        <f t="shared" si="3"/>
        <v>2675.5049716599979</v>
      </c>
      <c r="H25" s="33">
        <f t="shared" si="4"/>
        <v>2.3716599976069119E-3</v>
      </c>
      <c r="I25" t="s">
        <v>49</v>
      </c>
      <c r="J25" t="s">
        <v>28</v>
      </c>
      <c r="K25">
        <v>23</v>
      </c>
      <c r="L25" s="31">
        <f t="shared" si="0"/>
        <v>2675.5026000000003</v>
      </c>
      <c r="M25">
        <v>0</v>
      </c>
      <c r="N25" s="31">
        <f t="shared" si="5"/>
        <v>0</v>
      </c>
      <c r="O25" s="34">
        <v>23</v>
      </c>
      <c r="P25" s="35">
        <v>116.32620000000001</v>
      </c>
      <c r="Q25" s="36">
        <v>2675.5026000000003</v>
      </c>
      <c r="R25" s="37">
        <f t="shared" si="6"/>
        <v>2675.5026000000003</v>
      </c>
    </row>
    <row r="26" spans="1:18" s="1" customFormat="1" ht="15" x14ac:dyDescent="0.25">
      <c r="A26" s="27" t="s">
        <v>25</v>
      </c>
      <c r="B26" s="28" t="s">
        <v>50</v>
      </c>
      <c r="C26" s="29" t="s">
        <v>51</v>
      </c>
      <c r="D26" s="30">
        <v>5771.8539000000019</v>
      </c>
      <c r="E26" s="38">
        <f t="shared" si="7"/>
        <v>5906.2303999999995</v>
      </c>
      <c r="F26" s="32">
        <f>146.3153*P26</f>
        <v>7323.4904478400003</v>
      </c>
      <c r="G26" s="32">
        <f t="shared" si="3"/>
        <v>4354.5938521600019</v>
      </c>
      <c r="H26" s="33">
        <f t="shared" si="4"/>
        <v>2.5216000176442321E-4</v>
      </c>
      <c r="I26" t="s">
        <v>51</v>
      </c>
      <c r="J26" t="s">
        <v>28</v>
      </c>
      <c r="K26">
        <v>118</v>
      </c>
      <c r="L26" s="31">
        <f t="shared" si="0"/>
        <v>5906.2303999999995</v>
      </c>
      <c r="M26">
        <v>31</v>
      </c>
      <c r="N26" s="31">
        <f t="shared" si="5"/>
        <v>1551.6368</v>
      </c>
      <c r="O26" s="34">
        <v>87</v>
      </c>
      <c r="P26" s="35">
        <v>50.052799999999998</v>
      </c>
      <c r="Q26" s="36">
        <v>4354.5936000000002</v>
      </c>
      <c r="R26" s="37">
        <f t="shared" si="6"/>
        <v>4354.5935999999992</v>
      </c>
    </row>
    <row r="27" spans="1:18" s="1" customFormat="1" ht="15" x14ac:dyDescent="0.25">
      <c r="A27" s="27" t="s">
        <v>25</v>
      </c>
      <c r="B27" s="28" t="s">
        <v>50</v>
      </c>
      <c r="C27" s="29" t="s">
        <v>52</v>
      </c>
      <c r="D27" s="30">
        <v>3876</v>
      </c>
      <c r="E27" s="38">
        <f t="shared" si="7"/>
        <v>3875.9808000000003</v>
      </c>
      <c r="F27" s="32">
        <f>24.0001*P27</f>
        <v>3875.9969499200001</v>
      </c>
      <c r="G27" s="32">
        <f t="shared" si="3"/>
        <v>3875.9838500800001</v>
      </c>
      <c r="H27" s="33">
        <f t="shared" si="4"/>
        <v>3.0500799998662842E-3</v>
      </c>
      <c r="I27" t="s">
        <v>52</v>
      </c>
      <c r="J27" t="s">
        <v>28</v>
      </c>
      <c r="K27">
        <v>24</v>
      </c>
      <c r="L27" s="31">
        <f t="shared" si="0"/>
        <v>3875.9808000000003</v>
      </c>
      <c r="M27">
        <v>0</v>
      </c>
      <c r="N27" s="31">
        <f t="shared" si="5"/>
        <v>0</v>
      </c>
      <c r="O27" s="34">
        <v>24</v>
      </c>
      <c r="P27" s="35">
        <v>161.4992</v>
      </c>
      <c r="Q27" s="36">
        <v>3875.9808000000003</v>
      </c>
      <c r="R27" s="37">
        <f t="shared" si="6"/>
        <v>3875.9808000000003</v>
      </c>
    </row>
    <row r="28" spans="1:18" s="1" customFormat="1" ht="15" x14ac:dyDescent="0.25">
      <c r="A28" s="27" t="s">
        <v>25</v>
      </c>
      <c r="B28" s="28" t="s">
        <v>50</v>
      </c>
      <c r="C28" s="29" t="s">
        <v>53</v>
      </c>
      <c r="D28" s="30">
        <v>3481.8423000000003</v>
      </c>
      <c r="E28" s="38">
        <f t="shared" si="7"/>
        <v>3482.0174999999999</v>
      </c>
      <c r="F28" s="32">
        <f>79.9964*P28</f>
        <v>3923.2234469999994</v>
      </c>
      <c r="G28" s="32">
        <f t="shared" si="3"/>
        <v>3040.6363530000008</v>
      </c>
      <c r="H28" s="33">
        <f t="shared" si="4"/>
        <v>1.3530000005630427E-3</v>
      </c>
      <c r="I28" t="s">
        <v>53</v>
      </c>
      <c r="J28" t="s">
        <v>28</v>
      </c>
      <c r="K28">
        <v>71</v>
      </c>
      <c r="L28" s="31">
        <f t="shared" si="0"/>
        <v>3482.0174999999999</v>
      </c>
      <c r="M28">
        <v>9</v>
      </c>
      <c r="N28" s="31">
        <f t="shared" si="5"/>
        <v>441.38249999999999</v>
      </c>
      <c r="O28" s="34">
        <v>62</v>
      </c>
      <c r="P28" s="35">
        <v>49.042499999999997</v>
      </c>
      <c r="Q28" s="36">
        <v>3040.6350000000002</v>
      </c>
      <c r="R28" s="37">
        <f t="shared" si="6"/>
        <v>3040.6349999999998</v>
      </c>
    </row>
    <row r="29" spans="1:18" s="1" customFormat="1" ht="15" x14ac:dyDescent="0.25">
      <c r="A29" s="27" t="s">
        <v>25</v>
      </c>
      <c r="B29" s="28" t="s">
        <v>29</v>
      </c>
      <c r="C29" s="29" t="s">
        <v>54</v>
      </c>
      <c r="D29" s="30">
        <v>353.07940000000008</v>
      </c>
      <c r="E29" s="38">
        <f t="shared" si="7"/>
        <v>353.06110000000007</v>
      </c>
      <c r="F29" s="32">
        <f>12.0003*P29</f>
        <v>605.26273119000007</v>
      </c>
      <c r="G29" s="32">
        <f t="shared" si="3"/>
        <v>100.87776881000013</v>
      </c>
      <c r="H29" s="33">
        <f t="shared" si="4"/>
        <v>3.1688100001190378E-3</v>
      </c>
      <c r="I29" t="s">
        <v>54</v>
      </c>
      <c r="J29" t="s">
        <v>28</v>
      </c>
      <c r="K29">
        <v>7</v>
      </c>
      <c r="L29" s="31">
        <f t="shared" si="0"/>
        <v>353.06110000000007</v>
      </c>
      <c r="M29">
        <v>5</v>
      </c>
      <c r="N29" s="31">
        <f t="shared" si="5"/>
        <v>252.18650000000002</v>
      </c>
      <c r="O29" s="34">
        <v>2</v>
      </c>
      <c r="P29" s="35">
        <v>50.437300000000008</v>
      </c>
      <c r="Q29" s="36">
        <v>100.87460000000002</v>
      </c>
      <c r="R29" s="37">
        <f t="shared" si="6"/>
        <v>100.87460000000004</v>
      </c>
    </row>
    <row r="30" spans="1:18" s="1" customFormat="1" ht="15" x14ac:dyDescent="0.25">
      <c r="A30" s="27" t="s">
        <v>25</v>
      </c>
      <c r="B30" s="28" t="s">
        <v>29</v>
      </c>
      <c r="C30" s="29" t="s">
        <v>55</v>
      </c>
      <c r="D30" s="30">
        <v>192.8295</v>
      </c>
      <c r="E30" s="38">
        <f t="shared" si="7"/>
        <v>192.79370000000003</v>
      </c>
      <c r="F30" s="32">
        <f>11.0019999*P30</f>
        <v>192.82875164733002</v>
      </c>
      <c r="G30" s="32">
        <f t="shared" si="3"/>
        <v>192.79444835266997</v>
      </c>
      <c r="H30" s="33">
        <f t="shared" si="4"/>
        <v>7.4835266997297367E-4</v>
      </c>
      <c r="I30" t="s">
        <v>55</v>
      </c>
      <c r="J30" t="s">
        <v>28</v>
      </c>
      <c r="K30">
        <v>11</v>
      </c>
      <c r="L30" s="31">
        <f t="shared" si="0"/>
        <v>192.79370000000003</v>
      </c>
      <c r="M30">
        <v>0</v>
      </c>
      <c r="N30" s="31">
        <f t="shared" si="5"/>
        <v>0</v>
      </c>
      <c r="O30" s="34">
        <v>11</v>
      </c>
      <c r="P30" s="35">
        <v>17.526700000000002</v>
      </c>
      <c r="Q30" s="36">
        <v>192.7937</v>
      </c>
      <c r="R30" s="37">
        <f t="shared" si="6"/>
        <v>192.79370000000003</v>
      </c>
    </row>
    <row r="31" spans="1:18" s="1" customFormat="1" ht="15" x14ac:dyDescent="0.25">
      <c r="A31" s="27" t="s">
        <v>25</v>
      </c>
      <c r="B31" s="28" t="s">
        <v>29</v>
      </c>
      <c r="C31" s="29" t="s">
        <v>56</v>
      </c>
      <c r="D31" s="30">
        <v>508.08799999999997</v>
      </c>
      <c r="E31" s="38">
        <f t="shared" si="7"/>
        <v>507.92879999999997</v>
      </c>
      <c r="F31" s="32">
        <f>35.01*P31</f>
        <v>573.63184799999988</v>
      </c>
      <c r="G31" s="32">
        <f t="shared" si="3"/>
        <v>442.384952</v>
      </c>
      <c r="H31" s="33">
        <f t="shared" si="4"/>
        <v>-4.647999999917829E-3</v>
      </c>
      <c r="I31" t="s">
        <v>56</v>
      </c>
      <c r="J31" t="s">
        <v>28</v>
      </c>
      <c r="K31">
        <v>31</v>
      </c>
      <c r="L31" s="31">
        <f t="shared" si="0"/>
        <v>507.92879999999997</v>
      </c>
      <c r="M31">
        <v>4</v>
      </c>
      <c r="N31" s="31">
        <f t="shared" si="5"/>
        <v>65.539199999999994</v>
      </c>
      <c r="O31" s="34">
        <v>27</v>
      </c>
      <c r="P31" s="35">
        <v>16.384799999999998</v>
      </c>
      <c r="Q31" s="36">
        <v>442.38959999999992</v>
      </c>
      <c r="R31" s="37">
        <f t="shared" si="6"/>
        <v>442.38959999999997</v>
      </c>
    </row>
    <row r="32" spans="1:18" s="1" customFormat="1" ht="15" x14ac:dyDescent="0.25">
      <c r="A32" s="27" t="s">
        <v>25</v>
      </c>
      <c r="B32" s="28" t="s">
        <v>45</v>
      </c>
      <c r="C32" s="29" t="s">
        <v>57</v>
      </c>
      <c r="D32" s="30">
        <v>1169.8037999999997</v>
      </c>
      <c r="E32" s="38">
        <f t="shared" si="7"/>
        <v>1169.8420000000001</v>
      </c>
      <c r="F32" s="32">
        <f>9.9997*P32</f>
        <v>1169.8069047400002</v>
      </c>
      <c r="G32" s="32">
        <f t="shared" si="3"/>
        <v>1169.8388952599996</v>
      </c>
      <c r="H32" s="33">
        <f t="shared" si="4"/>
        <v>-3.1047400002535142E-3</v>
      </c>
      <c r="I32" t="s">
        <v>57</v>
      </c>
      <c r="J32" t="s">
        <v>28</v>
      </c>
      <c r="K32">
        <v>10</v>
      </c>
      <c r="L32" s="31">
        <f t="shared" si="0"/>
        <v>1169.8420000000001</v>
      </c>
      <c r="M32">
        <v>0</v>
      </c>
      <c r="N32" s="31">
        <f t="shared" si="5"/>
        <v>0</v>
      </c>
      <c r="O32" s="34">
        <v>10</v>
      </c>
      <c r="P32" s="35">
        <v>116.9842</v>
      </c>
      <c r="Q32" s="36">
        <v>1169.8419999999999</v>
      </c>
      <c r="R32" s="37">
        <f t="shared" si="6"/>
        <v>1169.8420000000001</v>
      </c>
    </row>
    <row r="33" spans="1:18" s="1" customFormat="1" ht="15" x14ac:dyDescent="0.25">
      <c r="A33" s="27" t="s">
        <v>25</v>
      </c>
      <c r="B33" s="28" t="s">
        <v>45</v>
      </c>
      <c r="C33" s="29" t="s">
        <v>58</v>
      </c>
      <c r="D33" s="30">
        <v>2850</v>
      </c>
      <c r="E33" s="38">
        <f t="shared" si="7"/>
        <v>2850</v>
      </c>
      <c r="F33" s="32">
        <f>41*P33</f>
        <v>3075</v>
      </c>
      <c r="G33" s="32">
        <f t="shared" si="3"/>
        <v>2625</v>
      </c>
      <c r="H33" s="33">
        <f t="shared" si="4"/>
        <v>0</v>
      </c>
      <c r="I33" t="s">
        <v>58</v>
      </c>
      <c r="J33" t="s">
        <v>59</v>
      </c>
      <c r="K33">
        <v>38</v>
      </c>
      <c r="L33" s="31">
        <f t="shared" si="0"/>
        <v>2850</v>
      </c>
      <c r="M33">
        <v>3</v>
      </c>
      <c r="N33" s="31">
        <f t="shared" si="5"/>
        <v>225</v>
      </c>
      <c r="O33" s="34">
        <v>35</v>
      </c>
      <c r="P33" s="35">
        <v>75</v>
      </c>
      <c r="Q33" s="36">
        <v>2625</v>
      </c>
      <c r="R33" s="37">
        <f t="shared" si="6"/>
        <v>2625</v>
      </c>
    </row>
    <row r="34" spans="1:18" s="1" customFormat="1" ht="15" x14ac:dyDescent="0.25">
      <c r="A34" s="27" t="s">
        <v>25</v>
      </c>
      <c r="B34" s="28" t="s">
        <v>47</v>
      </c>
      <c r="C34" s="29" t="s">
        <v>60</v>
      </c>
      <c r="D34" s="30">
        <v>22055.674000000057</v>
      </c>
      <c r="E34" s="38">
        <f t="shared" si="7"/>
        <v>95255.213100000008</v>
      </c>
      <c r="F34" s="32">
        <f>313.64071*P34</f>
        <v>90259.554887871011</v>
      </c>
      <c r="G34" s="32">
        <f t="shared" si="3"/>
        <v>27051.332212129055</v>
      </c>
      <c r="H34" s="33">
        <f t="shared" si="4"/>
        <v>2.8121290561102796E-3</v>
      </c>
      <c r="I34" t="s">
        <v>60</v>
      </c>
      <c r="J34" t="s">
        <v>42</v>
      </c>
      <c r="K34">
        <v>331</v>
      </c>
      <c r="L34" s="31">
        <f t="shared" si="0"/>
        <v>95255.213100000008</v>
      </c>
      <c r="M34">
        <v>237</v>
      </c>
      <c r="N34" s="31">
        <f t="shared" si="5"/>
        <v>68203.883700000006</v>
      </c>
      <c r="O34" s="34">
        <v>94</v>
      </c>
      <c r="P34" s="35">
        <v>287.7801</v>
      </c>
      <c r="Q34" s="36">
        <v>27051.329399999999</v>
      </c>
      <c r="R34" s="37">
        <f t="shared" si="6"/>
        <v>27051.329400000002</v>
      </c>
    </row>
    <row r="35" spans="1:18" s="1" customFormat="1" ht="15" x14ac:dyDescent="0.25">
      <c r="A35" s="27" t="s">
        <v>25</v>
      </c>
      <c r="B35" s="28" t="s">
        <v>45</v>
      </c>
      <c r="C35" s="29" t="s">
        <v>61</v>
      </c>
      <c r="D35" s="30">
        <v>3479.755000000001</v>
      </c>
      <c r="E35" s="38">
        <f t="shared" si="7"/>
        <v>4829.8912</v>
      </c>
      <c r="F35" s="32">
        <f>45.6571*P35</f>
        <v>5959.96825696</v>
      </c>
      <c r="G35" s="32">
        <f t="shared" si="3"/>
        <v>2349.6779430400011</v>
      </c>
      <c r="H35" s="33">
        <f t="shared" si="4"/>
        <v>1.1430400013523467E-3</v>
      </c>
      <c r="I35" t="s">
        <v>61</v>
      </c>
      <c r="J35" t="s">
        <v>28</v>
      </c>
      <c r="K35">
        <v>37</v>
      </c>
      <c r="L35" s="31">
        <f t="shared" si="0"/>
        <v>4829.8912</v>
      </c>
      <c r="M35">
        <v>19</v>
      </c>
      <c r="N35" s="31">
        <f t="shared" si="5"/>
        <v>2480.2143999999998</v>
      </c>
      <c r="O35" s="34">
        <v>18</v>
      </c>
      <c r="P35" s="35">
        <v>130.5376</v>
      </c>
      <c r="Q35" s="36">
        <v>2349.6767999999997</v>
      </c>
      <c r="R35" s="37">
        <f t="shared" si="6"/>
        <v>2349.6768000000002</v>
      </c>
    </row>
    <row r="36" spans="1:18" s="1" customFormat="1" ht="15" x14ac:dyDescent="0.25">
      <c r="A36" s="27" t="s">
        <v>25</v>
      </c>
      <c r="B36" s="28" t="s">
        <v>45</v>
      </c>
      <c r="C36" s="29" t="s">
        <v>62</v>
      </c>
      <c r="D36" s="30">
        <v>956.79960000000028</v>
      </c>
      <c r="E36" s="38">
        <f t="shared" si="7"/>
        <v>956.75</v>
      </c>
      <c r="F36" s="32">
        <f>14.0005*P36</f>
        <v>1339.4978375000001</v>
      </c>
      <c r="G36" s="32">
        <f t="shared" si="3"/>
        <v>574.05176250000022</v>
      </c>
      <c r="H36" s="33">
        <f t="shared" si="4"/>
        <v>1.762500000268119E-3</v>
      </c>
      <c r="I36" t="s">
        <v>62</v>
      </c>
      <c r="J36" t="s">
        <v>28</v>
      </c>
      <c r="K36">
        <v>10</v>
      </c>
      <c r="L36" s="31">
        <f t="shared" si="0"/>
        <v>956.75</v>
      </c>
      <c r="M36">
        <v>4</v>
      </c>
      <c r="N36" s="31">
        <f t="shared" si="5"/>
        <v>382.7</v>
      </c>
      <c r="O36" s="34">
        <v>6</v>
      </c>
      <c r="P36" s="35">
        <v>95.674999999999997</v>
      </c>
      <c r="Q36" s="36">
        <v>574.04999999999995</v>
      </c>
      <c r="R36" s="37">
        <f t="shared" si="6"/>
        <v>574.04999999999995</v>
      </c>
    </row>
    <row r="37" spans="1:18" s="1" customFormat="1" ht="15" x14ac:dyDescent="0.25">
      <c r="A37" s="27" t="s">
        <v>25</v>
      </c>
      <c r="B37" s="28" t="s">
        <v>45</v>
      </c>
      <c r="C37" s="29" t="s">
        <v>63</v>
      </c>
      <c r="D37" s="30">
        <v>1017.241</v>
      </c>
      <c r="E37" s="38">
        <f t="shared" si="7"/>
        <v>1017.252</v>
      </c>
      <c r="F37" s="32">
        <f>11.99985*P37</f>
        <v>1017.23928435</v>
      </c>
      <c r="G37" s="32">
        <f t="shared" si="3"/>
        <v>1017.2537156499999</v>
      </c>
      <c r="H37" s="33">
        <f t="shared" si="4"/>
        <v>1.7156499999373409E-3</v>
      </c>
      <c r="I37" t="s">
        <v>63</v>
      </c>
      <c r="J37" t="s">
        <v>28</v>
      </c>
      <c r="K37">
        <v>12</v>
      </c>
      <c r="L37" s="31">
        <f t="shared" si="0"/>
        <v>1017.252</v>
      </c>
      <c r="M37">
        <v>0</v>
      </c>
      <c r="N37" s="31">
        <f t="shared" si="5"/>
        <v>0</v>
      </c>
      <c r="O37" s="34">
        <v>12</v>
      </c>
      <c r="P37" s="35">
        <v>84.771000000000001</v>
      </c>
      <c r="Q37" s="36">
        <v>1017.252</v>
      </c>
      <c r="R37" s="37">
        <f t="shared" si="6"/>
        <v>1017.252</v>
      </c>
    </row>
    <row r="38" spans="1:18" s="1" customFormat="1" ht="15" x14ac:dyDescent="0.25">
      <c r="A38" s="27" t="s">
        <v>25</v>
      </c>
      <c r="B38" s="28" t="s">
        <v>45</v>
      </c>
      <c r="C38" s="29" t="s">
        <v>64</v>
      </c>
      <c r="D38" s="30">
        <v>393.20000000000027</v>
      </c>
      <c r="E38" s="38">
        <f t="shared" si="7"/>
        <v>393.20359999999999</v>
      </c>
      <c r="F38" s="32">
        <f>5*P38</f>
        <v>491.50450000000001</v>
      </c>
      <c r="G38" s="32">
        <f t="shared" si="3"/>
        <v>294.89910000000032</v>
      </c>
      <c r="H38" s="33">
        <f t="shared" si="4"/>
        <v>-3.5999999996647603E-3</v>
      </c>
      <c r="I38" t="s">
        <v>64</v>
      </c>
      <c r="J38" t="s">
        <v>28</v>
      </c>
      <c r="K38">
        <v>4</v>
      </c>
      <c r="L38" s="31">
        <f t="shared" si="0"/>
        <v>393.20359999999999</v>
      </c>
      <c r="M38">
        <v>1</v>
      </c>
      <c r="N38" s="31">
        <f t="shared" si="5"/>
        <v>98.300899999999999</v>
      </c>
      <c r="O38" s="34">
        <v>3</v>
      </c>
      <c r="P38" s="35">
        <v>98.300899999999999</v>
      </c>
      <c r="Q38" s="36">
        <v>294.90269999999998</v>
      </c>
      <c r="R38" s="37">
        <f t="shared" si="6"/>
        <v>294.90269999999998</v>
      </c>
    </row>
    <row r="39" spans="1:18" s="1" customFormat="1" ht="15" x14ac:dyDescent="0.25">
      <c r="A39" s="27" t="s">
        <v>25</v>
      </c>
      <c r="B39" s="28" t="s">
        <v>45</v>
      </c>
      <c r="C39" s="29" t="s">
        <v>65</v>
      </c>
      <c r="D39" s="30">
        <v>3869.2829000000011</v>
      </c>
      <c r="E39" s="38">
        <f t="shared" si="7"/>
        <v>3869.2907999999998</v>
      </c>
      <c r="F39" s="32">
        <f>35.9999*P39</f>
        <v>3869.2800519699995</v>
      </c>
      <c r="G39" s="32">
        <f t="shared" si="3"/>
        <v>3869.2936480300013</v>
      </c>
      <c r="H39" s="33">
        <f t="shared" si="4"/>
        <v>2.8480300011324289E-3</v>
      </c>
      <c r="I39" t="s">
        <v>65</v>
      </c>
      <c r="J39" t="s">
        <v>28</v>
      </c>
      <c r="K39">
        <v>36</v>
      </c>
      <c r="L39" s="31">
        <f t="shared" si="0"/>
        <v>3869.2907999999998</v>
      </c>
      <c r="M39">
        <v>0</v>
      </c>
      <c r="N39" s="31">
        <f t="shared" si="5"/>
        <v>0</v>
      </c>
      <c r="O39" s="34">
        <v>36</v>
      </c>
      <c r="P39" s="35">
        <v>107.4803</v>
      </c>
      <c r="Q39" s="36">
        <v>3869.2908000000002</v>
      </c>
      <c r="R39" s="37">
        <f t="shared" si="6"/>
        <v>3869.2907999999998</v>
      </c>
    </row>
    <row r="40" spans="1:18" s="1" customFormat="1" ht="15" x14ac:dyDescent="0.25">
      <c r="A40" s="27" t="s">
        <v>25</v>
      </c>
      <c r="B40" s="28" t="s">
        <v>45</v>
      </c>
      <c r="C40" s="29" t="s">
        <v>66</v>
      </c>
      <c r="D40" s="30">
        <v>3567.0028999999995</v>
      </c>
      <c r="E40" s="38">
        <f t="shared" si="7"/>
        <v>3566.9674999999997</v>
      </c>
      <c r="F40" s="32">
        <f>27.00022*P40</f>
        <v>3852.3562893139997</v>
      </c>
      <c r="G40" s="32">
        <f t="shared" si="3"/>
        <v>3281.6141106859995</v>
      </c>
      <c r="H40" s="33">
        <f t="shared" si="4"/>
        <v>4.0106860001287714E-3</v>
      </c>
      <c r="I40" t="s">
        <v>66</v>
      </c>
      <c r="J40" t="s">
        <v>28</v>
      </c>
      <c r="K40">
        <v>25</v>
      </c>
      <c r="L40" s="31">
        <f t="shared" si="0"/>
        <v>3566.9674999999997</v>
      </c>
      <c r="M40">
        <v>2</v>
      </c>
      <c r="N40" s="31">
        <f t="shared" si="5"/>
        <v>285.35739999999998</v>
      </c>
      <c r="O40" s="34">
        <v>23</v>
      </c>
      <c r="P40" s="35">
        <v>142.67869999999999</v>
      </c>
      <c r="Q40" s="36">
        <v>3281.6100999999994</v>
      </c>
      <c r="R40" s="37">
        <f t="shared" si="6"/>
        <v>3281.6100999999999</v>
      </c>
    </row>
    <row r="41" spans="1:18" s="1" customFormat="1" ht="15" x14ac:dyDescent="0.25">
      <c r="A41" s="27" t="s">
        <v>25</v>
      </c>
      <c r="B41" s="28" t="s">
        <v>45</v>
      </c>
      <c r="C41" s="29" t="s">
        <v>67</v>
      </c>
      <c r="D41" s="30">
        <v>3853.7088999999978</v>
      </c>
      <c r="E41" s="38">
        <f t="shared" si="7"/>
        <v>3853.7981999999997</v>
      </c>
      <c r="F41" s="32">
        <f>27.9995*P41</f>
        <v>5138.3058429000002</v>
      </c>
      <c r="G41" s="32">
        <f t="shared" si="3"/>
        <v>2569.2012570999968</v>
      </c>
      <c r="H41" s="33">
        <f t="shared" si="4"/>
        <v>2.4570999971729179E-3</v>
      </c>
      <c r="I41" t="s">
        <v>67</v>
      </c>
      <c r="J41" t="s">
        <v>28</v>
      </c>
      <c r="K41">
        <v>21</v>
      </c>
      <c r="L41" s="31">
        <f t="shared" si="0"/>
        <v>3853.7981999999997</v>
      </c>
      <c r="M41">
        <v>7</v>
      </c>
      <c r="N41" s="31">
        <f t="shared" si="5"/>
        <v>1284.5993999999998</v>
      </c>
      <c r="O41" s="34">
        <v>14</v>
      </c>
      <c r="P41" s="35">
        <v>183.51419999999999</v>
      </c>
      <c r="Q41" s="36">
        <v>2569.1987999999997</v>
      </c>
      <c r="R41" s="37">
        <f t="shared" si="6"/>
        <v>2569.1988000000001</v>
      </c>
    </row>
    <row r="42" spans="1:18" s="1" customFormat="1" ht="15" x14ac:dyDescent="0.25">
      <c r="A42" s="27" t="s">
        <v>25</v>
      </c>
      <c r="B42" s="28" t="s">
        <v>45</v>
      </c>
      <c r="C42" s="29" t="s">
        <v>68</v>
      </c>
      <c r="D42" s="30">
        <v>5147.2464</v>
      </c>
      <c r="E42" s="38">
        <f t="shared" si="7"/>
        <v>10379.037900000001</v>
      </c>
      <c r="F42" s="32">
        <f>45.30042*P42</f>
        <v>9595.4035931820017</v>
      </c>
      <c r="G42" s="32">
        <f t="shared" si="3"/>
        <v>5930.8807068179995</v>
      </c>
      <c r="H42" s="33">
        <f t="shared" si="4"/>
        <v>1.9068179981331923E-3</v>
      </c>
      <c r="I42" t="s">
        <v>68</v>
      </c>
      <c r="J42" t="s">
        <v>28</v>
      </c>
      <c r="K42">
        <v>49</v>
      </c>
      <c r="L42" s="31">
        <f t="shared" si="0"/>
        <v>10379.037900000001</v>
      </c>
      <c r="M42">
        <v>21</v>
      </c>
      <c r="N42" s="31">
        <f t="shared" si="5"/>
        <v>4448.1591000000008</v>
      </c>
      <c r="O42" s="34">
        <v>28</v>
      </c>
      <c r="P42" s="35">
        <v>211.81710000000004</v>
      </c>
      <c r="Q42" s="36">
        <v>5930.8788000000013</v>
      </c>
      <c r="R42" s="37">
        <f t="shared" si="6"/>
        <v>5930.8788000000004</v>
      </c>
    </row>
    <row r="43" spans="1:18" s="1" customFormat="1" ht="15" x14ac:dyDescent="0.25">
      <c r="A43" s="27" t="s">
        <v>25</v>
      </c>
      <c r="B43" s="28" t="s">
        <v>45</v>
      </c>
      <c r="C43" s="29" t="s">
        <v>69</v>
      </c>
      <c r="D43" s="30">
        <v>11442.195</v>
      </c>
      <c r="E43" s="38">
        <f t="shared" si="7"/>
        <v>14705.989799999999</v>
      </c>
      <c r="F43" s="32">
        <f>65.569*P43</f>
        <v>20516.107344600001</v>
      </c>
      <c r="G43" s="32">
        <f t="shared" si="3"/>
        <v>5632.0774553999981</v>
      </c>
      <c r="H43" s="33">
        <f t="shared" si="4"/>
        <v>-3.7446000014824676E-3</v>
      </c>
      <c r="I43" t="s">
        <v>69</v>
      </c>
      <c r="J43" t="s">
        <v>28</v>
      </c>
      <c r="K43">
        <v>47</v>
      </c>
      <c r="L43" s="31">
        <f t="shared" si="0"/>
        <v>14705.989799999999</v>
      </c>
      <c r="M43">
        <v>29</v>
      </c>
      <c r="N43" s="31">
        <f t="shared" si="5"/>
        <v>9073.9085999999988</v>
      </c>
      <c r="O43" s="34">
        <v>18</v>
      </c>
      <c r="P43" s="35">
        <v>312.89339999999999</v>
      </c>
      <c r="Q43" s="36">
        <v>5632.0811999999996</v>
      </c>
      <c r="R43" s="37">
        <f t="shared" si="6"/>
        <v>5632.0812000000005</v>
      </c>
    </row>
    <row r="44" spans="1:18" s="1" customFormat="1" ht="15" x14ac:dyDescent="0.25">
      <c r="A44" s="27" t="s">
        <v>25</v>
      </c>
      <c r="B44" s="28" t="s">
        <v>45</v>
      </c>
      <c r="C44" s="29" t="s">
        <v>70</v>
      </c>
      <c r="D44" s="30">
        <v>13030.616999999998</v>
      </c>
      <c r="E44" s="38">
        <f t="shared" si="7"/>
        <v>17072.269899999999</v>
      </c>
      <c r="F44" s="32">
        <f>66.4529*P44</f>
        <v>21405.69517807</v>
      </c>
      <c r="G44" s="32">
        <f t="shared" si="3"/>
        <v>8697.1917219299976</v>
      </c>
      <c r="H44" s="33">
        <f t="shared" si="4"/>
        <v>-2.3780700030329172E-3</v>
      </c>
      <c r="I44" t="s">
        <v>70</v>
      </c>
      <c r="J44" t="s">
        <v>28</v>
      </c>
      <c r="K44">
        <v>53</v>
      </c>
      <c r="L44" s="31">
        <f t="shared" si="0"/>
        <v>17072.269899999999</v>
      </c>
      <c r="M44">
        <v>26</v>
      </c>
      <c r="N44" s="31">
        <f t="shared" si="5"/>
        <v>8375.0757999999987</v>
      </c>
      <c r="O44" s="34">
        <v>27</v>
      </c>
      <c r="P44" s="35">
        <v>322.11829999999998</v>
      </c>
      <c r="Q44" s="36">
        <v>8697.1941000000006</v>
      </c>
      <c r="R44" s="37">
        <f t="shared" si="6"/>
        <v>8697.1941000000006</v>
      </c>
    </row>
    <row r="45" spans="1:18" s="1" customFormat="1" ht="15" x14ac:dyDescent="0.25">
      <c r="A45" s="27" t="s">
        <v>25</v>
      </c>
      <c r="B45" s="28" t="s">
        <v>45</v>
      </c>
      <c r="C45" s="29" t="s">
        <v>71</v>
      </c>
      <c r="D45" s="30">
        <v>7289.9639999999999</v>
      </c>
      <c r="E45" s="38">
        <f t="shared" si="7"/>
        <v>7289.9759999999997</v>
      </c>
      <c r="F45" s="32">
        <f>3.999993*P45</f>
        <v>7289.9632425419995</v>
      </c>
      <c r="G45" s="32">
        <f t="shared" si="3"/>
        <v>7289.9767574579992</v>
      </c>
      <c r="H45" s="33">
        <f t="shared" si="4"/>
        <v>7.574579994980013E-4</v>
      </c>
      <c r="I45" t="s">
        <v>71</v>
      </c>
      <c r="J45" t="s">
        <v>28</v>
      </c>
      <c r="K45">
        <v>4</v>
      </c>
      <c r="L45" s="31">
        <f t="shared" si="0"/>
        <v>7289.9759999999997</v>
      </c>
      <c r="M45">
        <v>0</v>
      </c>
      <c r="N45" s="31">
        <f t="shared" si="5"/>
        <v>0</v>
      </c>
      <c r="O45" s="34">
        <v>4</v>
      </c>
      <c r="P45" s="35">
        <v>1822.4939999999999</v>
      </c>
      <c r="Q45" s="36">
        <v>7289.9759999999997</v>
      </c>
      <c r="R45" s="37">
        <f t="shared" si="6"/>
        <v>7289.9759999999997</v>
      </c>
    </row>
    <row r="46" spans="1:18" s="1" customFormat="1" ht="15" x14ac:dyDescent="0.25">
      <c r="A46" s="27" t="s">
        <v>25</v>
      </c>
      <c r="B46" s="28" t="s">
        <v>45</v>
      </c>
      <c r="C46" s="29" t="s">
        <v>72</v>
      </c>
      <c r="D46" s="30">
        <v>5613.0768000000007</v>
      </c>
      <c r="E46" s="38">
        <f t="shared" si="7"/>
        <v>5613.0731999999998</v>
      </c>
      <c r="F46" s="32">
        <f>4*P46</f>
        <v>5613.0731999999998</v>
      </c>
      <c r="G46" s="32">
        <f t="shared" si="3"/>
        <v>5613.0768000000016</v>
      </c>
      <c r="H46" s="33">
        <f t="shared" si="4"/>
        <v>3.6000000018248102E-3</v>
      </c>
      <c r="I46" t="s">
        <v>72</v>
      </c>
      <c r="J46" t="s">
        <v>28</v>
      </c>
      <c r="K46">
        <v>4</v>
      </c>
      <c r="L46" s="31">
        <f t="shared" si="0"/>
        <v>5613.0731999999998</v>
      </c>
      <c r="M46">
        <v>0</v>
      </c>
      <c r="N46" s="31">
        <f t="shared" si="5"/>
        <v>0</v>
      </c>
      <c r="O46" s="34">
        <v>4</v>
      </c>
      <c r="P46" s="35">
        <v>1403.2683</v>
      </c>
      <c r="Q46" s="36">
        <v>5613.0731999999998</v>
      </c>
      <c r="R46" s="37">
        <f t="shared" si="6"/>
        <v>5613.0731999999998</v>
      </c>
    </row>
    <row r="47" spans="1:18" s="1" customFormat="1" ht="15" x14ac:dyDescent="0.25">
      <c r="A47" s="27" t="s">
        <v>25</v>
      </c>
      <c r="B47" s="28" t="s">
        <v>45</v>
      </c>
      <c r="C47" s="29" t="s">
        <v>73</v>
      </c>
      <c r="D47" s="30">
        <v>6620.1449999999995</v>
      </c>
      <c r="E47" s="38">
        <f t="shared" si="7"/>
        <v>6620.125</v>
      </c>
      <c r="F47" s="32">
        <f>5.000016*P47</f>
        <v>6620.1461843999996</v>
      </c>
      <c r="G47" s="32">
        <f t="shared" si="3"/>
        <v>6620.1238156000009</v>
      </c>
      <c r="H47" s="33">
        <f t="shared" si="4"/>
        <v>-1.18439999914699E-3</v>
      </c>
      <c r="I47" t="s">
        <v>73</v>
      </c>
      <c r="J47" t="s">
        <v>28</v>
      </c>
      <c r="K47">
        <v>5</v>
      </c>
      <c r="L47" s="31">
        <f t="shared" si="0"/>
        <v>6620.125</v>
      </c>
      <c r="M47">
        <v>0</v>
      </c>
      <c r="N47" s="31">
        <f t="shared" si="5"/>
        <v>0</v>
      </c>
      <c r="O47" s="34">
        <v>5</v>
      </c>
      <c r="P47" s="35">
        <v>1324.0250000000001</v>
      </c>
      <c r="Q47" s="36">
        <v>6620.125</v>
      </c>
      <c r="R47" s="37">
        <f t="shared" si="6"/>
        <v>6620.125</v>
      </c>
    </row>
    <row r="48" spans="1:18" s="1" customFormat="1" ht="15" x14ac:dyDescent="0.25">
      <c r="A48" s="27" t="s">
        <v>25</v>
      </c>
      <c r="B48" s="28" t="s">
        <v>45</v>
      </c>
      <c r="C48" s="29" t="s">
        <v>74</v>
      </c>
      <c r="D48" s="30">
        <v>6627.2450000000008</v>
      </c>
      <c r="E48" s="38">
        <f t="shared" si="7"/>
        <v>6627.2249999999995</v>
      </c>
      <c r="F48" s="32">
        <f>5.000012*P48</f>
        <v>6627.2409053399997</v>
      </c>
      <c r="G48" s="32">
        <f t="shared" si="3"/>
        <v>6627.2290946600015</v>
      </c>
      <c r="H48" s="33">
        <f t="shared" si="4"/>
        <v>4.0946600011011469E-3</v>
      </c>
      <c r="I48" t="s">
        <v>74</v>
      </c>
      <c r="J48" t="s">
        <v>28</v>
      </c>
      <c r="K48">
        <v>5</v>
      </c>
      <c r="L48" s="31">
        <f t="shared" si="0"/>
        <v>6627.2249999999995</v>
      </c>
      <c r="M48">
        <v>0</v>
      </c>
      <c r="N48" s="31">
        <f t="shared" si="5"/>
        <v>0</v>
      </c>
      <c r="O48" s="34">
        <v>5</v>
      </c>
      <c r="P48" s="35">
        <v>1325.4449999999999</v>
      </c>
      <c r="Q48" s="36">
        <v>6627.2250000000004</v>
      </c>
      <c r="R48" s="37">
        <f t="shared" si="6"/>
        <v>6627.2249999999995</v>
      </c>
    </row>
    <row r="49" spans="1:18" s="1" customFormat="1" ht="15" x14ac:dyDescent="0.25">
      <c r="A49" s="27" t="s">
        <v>25</v>
      </c>
      <c r="B49" s="28" t="s">
        <v>47</v>
      </c>
      <c r="C49" s="29" t="s">
        <v>75</v>
      </c>
      <c r="D49" s="30">
        <v>543.99</v>
      </c>
      <c r="E49" s="38">
        <f t="shared" si="7"/>
        <v>1631.9901</v>
      </c>
      <c r="F49" s="32">
        <f>0.99998*P49</f>
        <v>543.98582006599997</v>
      </c>
      <c r="G49" s="32">
        <f t="shared" si="3"/>
        <v>1631.9942799339997</v>
      </c>
      <c r="H49" s="33">
        <f t="shared" si="4"/>
        <v>4.1799339996941853E-3</v>
      </c>
      <c r="I49" t="s">
        <v>75</v>
      </c>
      <c r="J49" t="s">
        <v>76</v>
      </c>
      <c r="K49">
        <v>3</v>
      </c>
      <c r="L49" s="31">
        <f t="shared" si="0"/>
        <v>1631.9901</v>
      </c>
      <c r="M49">
        <v>0</v>
      </c>
      <c r="N49" s="31">
        <f t="shared" si="5"/>
        <v>0</v>
      </c>
      <c r="O49" s="34">
        <v>3</v>
      </c>
      <c r="P49" s="35">
        <v>543.99670000000003</v>
      </c>
      <c r="Q49" s="36">
        <v>1631.9901</v>
      </c>
      <c r="R49" s="37">
        <f t="shared" si="6"/>
        <v>1631.9901</v>
      </c>
    </row>
    <row r="50" spans="1:18" s="1" customFormat="1" ht="15" x14ac:dyDescent="0.25">
      <c r="A50" s="27" t="s">
        <v>25</v>
      </c>
      <c r="B50" s="28" t="s">
        <v>47</v>
      </c>
      <c r="C50" s="29" t="s">
        <v>77</v>
      </c>
      <c r="D50" s="30">
        <v>700</v>
      </c>
      <c r="E50" s="38">
        <f t="shared" si="7"/>
        <v>1240</v>
      </c>
      <c r="F50" s="32">
        <f>3.25805*P50</f>
        <v>1009.9955</v>
      </c>
      <c r="G50" s="32">
        <f t="shared" si="3"/>
        <v>930.00450000000001</v>
      </c>
      <c r="H50" s="33">
        <f t="shared" si="4"/>
        <v>4.500000000007276E-3</v>
      </c>
      <c r="I50" t="s">
        <v>77</v>
      </c>
      <c r="J50" t="s">
        <v>78</v>
      </c>
      <c r="K50">
        <v>4</v>
      </c>
      <c r="L50" s="31">
        <f t="shared" si="0"/>
        <v>1240</v>
      </c>
      <c r="M50">
        <v>1</v>
      </c>
      <c r="N50" s="31">
        <f t="shared" si="5"/>
        <v>310</v>
      </c>
      <c r="O50" s="34">
        <v>3</v>
      </c>
      <c r="P50" s="35">
        <v>310</v>
      </c>
      <c r="Q50" s="36">
        <v>930</v>
      </c>
      <c r="R50" s="37">
        <f t="shared" si="6"/>
        <v>930</v>
      </c>
    </row>
    <row r="51" spans="1:18" s="1" customFormat="1" ht="15" x14ac:dyDescent="0.25">
      <c r="A51" s="27" t="s">
        <v>25</v>
      </c>
      <c r="B51" s="28" t="s">
        <v>29</v>
      </c>
      <c r="C51" s="29" t="s">
        <v>79</v>
      </c>
      <c r="D51" s="30">
        <v>377.875</v>
      </c>
      <c r="E51" s="38">
        <f t="shared" si="7"/>
        <v>377.86140000000006</v>
      </c>
      <c r="F51" s="32">
        <f>4.0001*P51</f>
        <v>503.82779538000005</v>
      </c>
      <c r="G51" s="32">
        <f t="shared" si="3"/>
        <v>251.90860461999995</v>
      </c>
      <c r="H51" s="33">
        <f t="shared" si="4"/>
        <v>1.0046199999749206E-3</v>
      </c>
      <c r="I51" t="s">
        <v>79</v>
      </c>
      <c r="J51" t="s">
        <v>28</v>
      </c>
      <c r="K51">
        <v>3</v>
      </c>
      <c r="L51" s="31">
        <f t="shared" si="0"/>
        <v>377.86140000000006</v>
      </c>
      <c r="M51">
        <v>1</v>
      </c>
      <c r="N51" s="31">
        <f t="shared" si="5"/>
        <v>125.95380000000002</v>
      </c>
      <c r="O51" s="34">
        <v>2</v>
      </c>
      <c r="P51" s="35">
        <v>125.95380000000002</v>
      </c>
      <c r="Q51" s="36">
        <v>251.90759999999997</v>
      </c>
      <c r="R51" s="37">
        <f t="shared" si="6"/>
        <v>251.90760000000006</v>
      </c>
    </row>
    <row r="52" spans="1:18" s="1" customFormat="1" ht="15" x14ac:dyDescent="0.25">
      <c r="A52" s="27" t="s">
        <v>25</v>
      </c>
      <c r="B52" s="28" t="s">
        <v>45</v>
      </c>
      <c r="C52" s="29" t="s">
        <v>80</v>
      </c>
      <c r="D52" s="30">
        <v>928.79899999999998</v>
      </c>
      <c r="E52" s="38">
        <f t="shared" si="7"/>
        <v>928.74959999999999</v>
      </c>
      <c r="F52" s="32">
        <f>20.0009*P52</f>
        <v>1031.9904374800001</v>
      </c>
      <c r="G52" s="32">
        <f t="shared" si="3"/>
        <v>825.55816252</v>
      </c>
      <c r="H52" s="33">
        <f t="shared" si="4"/>
        <v>2.9625199999827601E-3</v>
      </c>
      <c r="I52" t="s">
        <v>80</v>
      </c>
      <c r="J52" t="s">
        <v>28</v>
      </c>
      <c r="K52">
        <v>18</v>
      </c>
      <c r="L52" s="31">
        <f t="shared" si="0"/>
        <v>928.74959999999999</v>
      </c>
      <c r="M52">
        <v>2</v>
      </c>
      <c r="N52" s="31">
        <f t="shared" si="5"/>
        <v>103.1944</v>
      </c>
      <c r="O52" s="34">
        <v>16</v>
      </c>
      <c r="P52" s="35">
        <v>51.597200000000001</v>
      </c>
      <c r="Q52" s="36">
        <v>825.55520000000001</v>
      </c>
      <c r="R52" s="37">
        <f t="shared" si="6"/>
        <v>825.55520000000001</v>
      </c>
    </row>
    <row r="53" spans="1:18" s="1" customFormat="1" ht="15" x14ac:dyDescent="0.25">
      <c r="A53" s="27" t="s">
        <v>25</v>
      </c>
      <c r="B53" s="28" t="s">
        <v>45</v>
      </c>
      <c r="C53" s="29" t="s">
        <v>81</v>
      </c>
      <c r="D53" s="30">
        <v>1863.54</v>
      </c>
      <c r="E53" s="38">
        <f t="shared" si="7"/>
        <v>1863.54</v>
      </c>
      <c r="F53" s="32">
        <f>1*P53</f>
        <v>1863.54</v>
      </c>
      <c r="G53" s="32">
        <f t="shared" si="3"/>
        <v>1863.54</v>
      </c>
      <c r="H53" s="33">
        <f t="shared" si="4"/>
        <v>0</v>
      </c>
      <c r="I53" t="s">
        <v>81</v>
      </c>
      <c r="J53" t="s">
        <v>82</v>
      </c>
      <c r="K53">
        <v>1</v>
      </c>
      <c r="L53" s="31">
        <f t="shared" si="0"/>
        <v>1863.54</v>
      </c>
      <c r="M53">
        <v>0</v>
      </c>
      <c r="N53" s="31">
        <f t="shared" si="5"/>
        <v>0</v>
      </c>
      <c r="O53" s="34">
        <v>1</v>
      </c>
      <c r="P53" s="35">
        <v>1863.54</v>
      </c>
      <c r="Q53" s="36">
        <v>1863.54</v>
      </c>
      <c r="R53" s="37">
        <f t="shared" si="6"/>
        <v>1863.54</v>
      </c>
    </row>
    <row r="54" spans="1:18" s="1" customFormat="1" ht="15" x14ac:dyDescent="0.25">
      <c r="A54" s="27" t="s">
        <v>25</v>
      </c>
      <c r="B54" s="28" t="s">
        <v>45</v>
      </c>
      <c r="C54" s="29" t="s">
        <v>83</v>
      </c>
      <c r="D54" s="30">
        <v>250</v>
      </c>
      <c r="E54" s="38">
        <f t="shared" si="7"/>
        <v>250</v>
      </c>
      <c r="F54" s="32">
        <f>2*P54</f>
        <v>250</v>
      </c>
      <c r="G54" s="32">
        <f t="shared" si="3"/>
        <v>250</v>
      </c>
      <c r="H54" s="33">
        <f t="shared" si="4"/>
        <v>0</v>
      </c>
      <c r="I54" t="s">
        <v>83</v>
      </c>
      <c r="J54" t="s">
        <v>28</v>
      </c>
      <c r="K54">
        <v>2</v>
      </c>
      <c r="L54" s="31">
        <f t="shared" si="0"/>
        <v>250</v>
      </c>
      <c r="M54">
        <v>0</v>
      </c>
      <c r="N54" s="31">
        <f t="shared" si="5"/>
        <v>0</v>
      </c>
      <c r="O54" s="34">
        <v>2</v>
      </c>
      <c r="P54" s="35">
        <v>125</v>
      </c>
      <c r="Q54" s="36">
        <v>250</v>
      </c>
      <c r="R54" s="37">
        <f t="shared" si="6"/>
        <v>250</v>
      </c>
    </row>
    <row r="55" spans="1:18" s="1" customFormat="1" ht="15" x14ac:dyDescent="0.25">
      <c r="A55" s="27" t="s">
        <v>25</v>
      </c>
      <c r="B55" s="28" t="s">
        <v>45</v>
      </c>
      <c r="C55" s="29" t="s">
        <v>84</v>
      </c>
      <c r="D55" s="30">
        <v>12510.36</v>
      </c>
      <c r="E55" s="38">
        <f t="shared" si="7"/>
        <v>12510.36</v>
      </c>
      <c r="F55" s="32">
        <f>6*P55</f>
        <v>12510.36</v>
      </c>
      <c r="G55" s="32">
        <f t="shared" si="3"/>
        <v>12510.36</v>
      </c>
      <c r="H55" s="33">
        <f t="shared" si="4"/>
        <v>0</v>
      </c>
      <c r="I55" t="s">
        <v>84</v>
      </c>
      <c r="J55" t="s">
        <v>28</v>
      </c>
      <c r="K55">
        <v>6</v>
      </c>
      <c r="L55" s="31">
        <f t="shared" si="0"/>
        <v>12510.36</v>
      </c>
      <c r="M55">
        <v>0</v>
      </c>
      <c r="N55" s="31">
        <f t="shared" si="5"/>
        <v>0</v>
      </c>
      <c r="O55" s="34">
        <v>6</v>
      </c>
      <c r="P55" s="35">
        <v>2085.06</v>
      </c>
      <c r="Q55" s="36">
        <v>12510.36</v>
      </c>
      <c r="R55" s="37">
        <f t="shared" si="6"/>
        <v>12510.36</v>
      </c>
    </row>
    <row r="56" spans="1:18" s="1" customFormat="1" ht="15" x14ac:dyDescent="0.25">
      <c r="A56" s="27" t="s">
        <v>25</v>
      </c>
      <c r="B56" s="28" t="s">
        <v>45</v>
      </c>
      <c r="C56" s="29" t="s">
        <v>85</v>
      </c>
      <c r="D56" s="30">
        <v>14243.19</v>
      </c>
      <c r="E56" s="38">
        <f t="shared" si="7"/>
        <v>14243.189999999999</v>
      </c>
      <c r="F56" s="32">
        <f>3*P56</f>
        <v>14243.189999999999</v>
      </c>
      <c r="G56" s="32">
        <f t="shared" si="3"/>
        <v>14243.189999999999</v>
      </c>
      <c r="H56" s="33">
        <f t="shared" si="4"/>
        <v>0</v>
      </c>
      <c r="I56" t="s">
        <v>85</v>
      </c>
      <c r="J56" t="s">
        <v>28</v>
      </c>
      <c r="K56">
        <v>3</v>
      </c>
      <c r="L56" s="31">
        <f t="shared" si="0"/>
        <v>14243.189999999999</v>
      </c>
      <c r="M56">
        <v>0</v>
      </c>
      <c r="N56" s="31">
        <f t="shared" si="5"/>
        <v>0</v>
      </c>
      <c r="O56" s="34">
        <v>3</v>
      </c>
      <c r="P56" s="35">
        <v>4747.7299999999996</v>
      </c>
      <c r="Q56" s="36">
        <v>14243.189999999997</v>
      </c>
      <c r="R56" s="37">
        <f t="shared" si="6"/>
        <v>14243.189999999999</v>
      </c>
    </row>
    <row r="57" spans="1:18" s="1" customFormat="1" ht="15" x14ac:dyDescent="0.25">
      <c r="A57" s="27" t="s">
        <v>25</v>
      </c>
      <c r="B57" s="28" t="s">
        <v>45</v>
      </c>
      <c r="C57" s="29" t="s">
        <v>86</v>
      </c>
      <c r="D57" s="30">
        <v>873.20840000000135</v>
      </c>
      <c r="E57" s="38">
        <f t="shared" si="7"/>
        <v>2597.7889000000005</v>
      </c>
      <c r="F57" s="32">
        <f>38.4706*P57</f>
        <v>2039.5611766600002</v>
      </c>
      <c r="G57" s="32">
        <f t="shared" si="3"/>
        <v>1431.4361233400016</v>
      </c>
      <c r="H57" s="33">
        <f t="shared" si="4"/>
        <v>1.423340001338147E-3</v>
      </c>
      <c r="I57" t="s">
        <v>86</v>
      </c>
      <c r="J57" t="s">
        <v>28</v>
      </c>
      <c r="K57">
        <v>49</v>
      </c>
      <c r="L57" s="31">
        <f t="shared" si="0"/>
        <v>2597.7889000000005</v>
      </c>
      <c r="M57">
        <v>22</v>
      </c>
      <c r="N57" s="31">
        <f t="shared" si="5"/>
        <v>1166.3542000000002</v>
      </c>
      <c r="O57" s="34">
        <v>27</v>
      </c>
      <c r="P57" s="35">
        <v>53.016100000000009</v>
      </c>
      <c r="Q57" s="36">
        <v>1431.4347000000002</v>
      </c>
      <c r="R57" s="37">
        <f t="shared" si="6"/>
        <v>1431.4347000000002</v>
      </c>
    </row>
    <row r="58" spans="1:18" s="1" customFormat="1" ht="15" x14ac:dyDescent="0.25">
      <c r="A58" s="27" t="s">
        <v>25</v>
      </c>
      <c r="B58" s="28" t="s">
        <v>45</v>
      </c>
      <c r="C58" s="29" t="s">
        <v>87</v>
      </c>
      <c r="D58" s="30">
        <v>1016.8799000000008</v>
      </c>
      <c r="E58" s="38">
        <f t="shared" si="7"/>
        <v>3353.5315000000001</v>
      </c>
      <c r="F58" s="32">
        <f>25.6774*P58</f>
        <v>1565.63581342</v>
      </c>
      <c r="G58" s="32">
        <f t="shared" si="3"/>
        <v>2804.7755865800009</v>
      </c>
      <c r="H58" s="33">
        <f t="shared" si="4"/>
        <v>3.7865800009058148E-3</v>
      </c>
      <c r="I58" t="s">
        <v>87</v>
      </c>
      <c r="J58" t="s">
        <v>28</v>
      </c>
      <c r="K58">
        <v>55</v>
      </c>
      <c r="L58" s="31">
        <f t="shared" si="0"/>
        <v>3353.5315000000001</v>
      </c>
      <c r="M58">
        <v>9</v>
      </c>
      <c r="N58" s="31">
        <f t="shared" si="5"/>
        <v>548.75970000000007</v>
      </c>
      <c r="O58" s="34">
        <v>46</v>
      </c>
      <c r="P58" s="35">
        <v>60.973300000000002</v>
      </c>
      <c r="Q58" s="36">
        <v>2804.7718</v>
      </c>
      <c r="R58" s="37">
        <f t="shared" si="6"/>
        <v>2804.7718</v>
      </c>
    </row>
    <row r="59" spans="1:18" s="1" customFormat="1" ht="15" x14ac:dyDescent="0.25">
      <c r="A59" s="27" t="s">
        <v>25</v>
      </c>
      <c r="B59" s="28" t="s">
        <v>45</v>
      </c>
      <c r="C59" s="29" t="s">
        <v>88</v>
      </c>
      <c r="D59" s="30">
        <v>623.19709999999998</v>
      </c>
      <c r="E59" s="38">
        <f t="shared" si="7"/>
        <v>623.18290000000002</v>
      </c>
      <c r="F59" s="32">
        <f>19.0003*P59</f>
        <v>623.19273973000008</v>
      </c>
      <c r="G59" s="32">
        <f t="shared" si="3"/>
        <v>623.18726027000002</v>
      </c>
      <c r="H59" s="33">
        <f t="shared" si="4"/>
        <v>4.3602699998928074E-3</v>
      </c>
      <c r="I59" t="s">
        <v>88</v>
      </c>
      <c r="J59" t="s">
        <v>28</v>
      </c>
      <c r="K59">
        <v>19</v>
      </c>
      <c r="L59" s="31">
        <f t="shared" si="0"/>
        <v>623.18290000000002</v>
      </c>
      <c r="M59">
        <v>0</v>
      </c>
      <c r="N59" s="31">
        <f t="shared" si="5"/>
        <v>0</v>
      </c>
      <c r="O59" s="34">
        <v>19</v>
      </c>
      <c r="P59" s="35">
        <v>32.799100000000003</v>
      </c>
      <c r="Q59" s="36">
        <v>623.18290000000013</v>
      </c>
      <c r="R59" s="37">
        <f t="shared" si="6"/>
        <v>623.18290000000002</v>
      </c>
    </row>
    <row r="60" spans="1:18" s="1" customFormat="1" ht="15" x14ac:dyDescent="0.25">
      <c r="A60" s="27" t="s">
        <v>25</v>
      </c>
      <c r="B60" s="28" t="s">
        <v>45</v>
      </c>
      <c r="C60" s="29" t="s">
        <v>89</v>
      </c>
      <c r="D60" s="30">
        <v>669.12</v>
      </c>
      <c r="E60" s="38">
        <f t="shared" si="7"/>
        <v>669.12400000000014</v>
      </c>
      <c r="F60" s="32">
        <f>2*P60</f>
        <v>669.12400000000014</v>
      </c>
      <c r="G60" s="32">
        <f t="shared" si="3"/>
        <v>669.12</v>
      </c>
      <c r="H60" s="33">
        <f t="shared" si="4"/>
        <v>-4.0000000001327862E-3</v>
      </c>
      <c r="I60" t="s">
        <v>89</v>
      </c>
      <c r="J60" t="s">
        <v>28</v>
      </c>
      <c r="K60">
        <v>2</v>
      </c>
      <c r="L60" s="31">
        <f t="shared" si="0"/>
        <v>669.12400000000014</v>
      </c>
      <c r="M60">
        <v>0</v>
      </c>
      <c r="N60" s="31">
        <f t="shared" si="5"/>
        <v>0</v>
      </c>
      <c r="O60" s="34">
        <v>2</v>
      </c>
      <c r="P60" s="35">
        <v>334.56200000000007</v>
      </c>
      <c r="Q60" s="36">
        <v>669.12400000000014</v>
      </c>
      <c r="R60" s="37">
        <f t="shared" si="6"/>
        <v>669.12400000000014</v>
      </c>
    </row>
    <row r="61" spans="1:18" s="1" customFormat="1" ht="15" x14ac:dyDescent="0.25">
      <c r="A61" s="27" t="s">
        <v>25</v>
      </c>
      <c r="B61" s="28" t="s">
        <v>45</v>
      </c>
      <c r="C61" s="29" t="s">
        <v>90</v>
      </c>
      <c r="D61" s="30">
        <v>1257.4105000000002</v>
      </c>
      <c r="E61" s="38">
        <f t="shared" si="7"/>
        <v>1257.4265</v>
      </c>
      <c r="F61" s="32">
        <f>10.9999*P61</f>
        <v>1257.4150688499999</v>
      </c>
      <c r="G61" s="32">
        <f t="shared" si="3"/>
        <v>1257.4219311500005</v>
      </c>
      <c r="H61" s="33">
        <f t="shared" si="4"/>
        <v>-4.5688499994867016E-3</v>
      </c>
      <c r="I61" t="s">
        <v>90</v>
      </c>
      <c r="J61" t="s">
        <v>28</v>
      </c>
      <c r="K61">
        <v>11</v>
      </c>
      <c r="L61" s="31">
        <f t="shared" si="0"/>
        <v>1257.4265</v>
      </c>
      <c r="M61">
        <v>0</v>
      </c>
      <c r="N61" s="31">
        <f t="shared" si="5"/>
        <v>0</v>
      </c>
      <c r="O61" s="34">
        <v>11</v>
      </c>
      <c r="P61" s="35">
        <v>114.3115</v>
      </c>
      <c r="Q61" s="36">
        <v>1257.4265</v>
      </c>
      <c r="R61" s="37">
        <f t="shared" si="6"/>
        <v>1257.4265</v>
      </c>
    </row>
    <row r="62" spans="1:18" s="1" customFormat="1" ht="15" x14ac:dyDescent="0.25">
      <c r="A62" s="27" t="s">
        <v>25</v>
      </c>
      <c r="B62" s="28" t="s">
        <v>45</v>
      </c>
      <c r="C62" s="29" t="s">
        <v>91</v>
      </c>
      <c r="D62" s="30">
        <v>3602.072799999999</v>
      </c>
      <c r="E62" s="38">
        <f t="shared" si="7"/>
        <v>3601.8189000000002</v>
      </c>
      <c r="F62" s="32">
        <f>83.0056*P62</f>
        <v>3691.00171464</v>
      </c>
      <c r="G62" s="32">
        <f t="shared" si="3"/>
        <v>3512.8899853599992</v>
      </c>
      <c r="H62" s="33">
        <f t="shared" si="4"/>
        <v>4.8853599982976448E-3</v>
      </c>
      <c r="I62" t="s">
        <v>91</v>
      </c>
      <c r="J62" t="s">
        <v>28</v>
      </c>
      <c r="K62">
        <v>81</v>
      </c>
      <c r="L62" s="31">
        <f t="shared" si="0"/>
        <v>3601.8189000000002</v>
      </c>
      <c r="M62">
        <v>2</v>
      </c>
      <c r="N62" s="31">
        <f t="shared" si="5"/>
        <v>88.933800000000005</v>
      </c>
      <c r="O62" s="34">
        <v>79</v>
      </c>
      <c r="P62" s="35">
        <v>44.466900000000003</v>
      </c>
      <c r="Q62" s="36">
        <v>3512.8851000000009</v>
      </c>
      <c r="R62" s="37">
        <f t="shared" si="6"/>
        <v>3512.8851000000004</v>
      </c>
    </row>
    <row r="63" spans="1:18" s="1" customFormat="1" ht="15" x14ac:dyDescent="0.25">
      <c r="A63" s="27" t="s">
        <v>25</v>
      </c>
      <c r="B63" s="28" t="s">
        <v>45</v>
      </c>
      <c r="C63" s="29" t="s">
        <v>92</v>
      </c>
      <c r="D63" s="30">
        <v>6918.34</v>
      </c>
      <c r="E63" s="38">
        <f t="shared" si="7"/>
        <v>6918.34</v>
      </c>
      <c r="F63" s="32">
        <f>1*P63</f>
        <v>6918.34</v>
      </c>
      <c r="G63" s="32">
        <f t="shared" si="3"/>
        <v>6918.34</v>
      </c>
      <c r="H63" s="33">
        <f t="shared" si="4"/>
        <v>0</v>
      </c>
      <c r="I63" t="s">
        <v>92</v>
      </c>
      <c r="J63" t="s">
        <v>28</v>
      </c>
      <c r="K63">
        <v>1</v>
      </c>
      <c r="L63" s="31">
        <f t="shared" si="0"/>
        <v>6918.34</v>
      </c>
      <c r="M63">
        <v>0</v>
      </c>
      <c r="N63" s="31">
        <f t="shared" si="5"/>
        <v>0</v>
      </c>
      <c r="O63" s="34">
        <v>1</v>
      </c>
      <c r="P63" s="35">
        <v>6918.34</v>
      </c>
      <c r="Q63" s="36">
        <v>6918.34</v>
      </c>
      <c r="R63" s="37">
        <f t="shared" si="6"/>
        <v>6918.34</v>
      </c>
    </row>
    <row r="64" spans="1:18" s="1" customFormat="1" ht="15" x14ac:dyDescent="0.25">
      <c r="A64" s="27" t="s">
        <v>25</v>
      </c>
      <c r="B64" s="28" t="s">
        <v>45</v>
      </c>
      <c r="C64" s="29" t="s">
        <v>93</v>
      </c>
      <c r="D64" s="30">
        <v>10303.054499999998</v>
      </c>
      <c r="E64" s="38">
        <f t="shared" si="7"/>
        <v>10303.065500000001</v>
      </c>
      <c r="F64" s="32">
        <f>4.999994*P64</f>
        <v>10303.0531363214</v>
      </c>
      <c r="G64" s="32">
        <f t="shared" si="3"/>
        <v>10303.066863678599</v>
      </c>
      <c r="H64" s="33">
        <f t="shared" si="4"/>
        <v>1.3636785988637712E-3</v>
      </c>
      <c r="I64" t="s">
        <v>93</v>
      </c>
      <c r="J64" t="s">
        <v>28</v>
      </c>
      <c r="K64">
        <v>5</v>
      </c>
      <c r="L64" s="31">
        <f t="shared" si="0"/>
        <v>10303.065500000001</v>
      </c>
      <c r="M64">
        <v>0</v>
      </c>
      <c r="N64" s="31">
        <f t="shared" si="5"/>
        <v>0</v>
      </c>
      <c r="O64" s="34">
        <v>5</v>
      </c>
      <c r="P64" s="35">
        <v>2060.6131</v>
      </c>
      <c r="Q64" s="36">
        <v>10303.065500000001</v>
      </c>
      <c r="R64" s="37">
        <f t="shared" si="6"/>
        <v>10303.065500000001</v>
      </c>
    </row>
    <row r="65" spans="1:18" s="1" customFormat="1" ht="15" x14ac:dyDescent="0.25">
      <c r="A65" s="27" t="s">
        <v>25</v>
      </c>
      <c r="B65" s="28" t="s">
        <v>45</v>
      </c>
      <c r="C65" s="29" t="s">
        <v>94</v>
      </c>
      <c r="D65" s="30">
        <v>1294.5584999999996</v>
      </c>
      <c r="E65" s="38">
        <f t="shared" si="7"/>
        <v>1294.6064999999999</v>
      </c>
      <c r="F65" s="32">
        <f>32.9988*P65</f>
        <v>1378.0793862</v>
      </c>
      <c r="G65" s="32">
        <f t="shared" si="3"/>
        <v>1211.0856137999995</v>
      </c>
      <c r="H65" s="33">
        <f t="shared" si="4"/>
        <v>2.113799999733601E-3</v>
      </c>
      <c r="I65" t="s">
        <v>94</v>
      </c>
      <c r="J65" t="s">
        <v>28</v>
      </c>
      <c r="K65">
        <v>31</v>
      </c>
      <c r="L65" s="31">
        <f t="shared" si="0"/>
        <v>1294.6064999999999</v>
      </c>
      <c r="M65">
        <v>2</v>
      </c>
      <c r="N65" s="31">
        <f t="shared" si="5"/>
        <v>83.522999999999996</v>
      </c>
      <c r="O65" s="34">
        <v>29</v>
      </c>
      <c r="P65" s="35">
        <v>41.761499999999998</v>
      </c>
      <c r="Q65" s="36">
        <v>1211.0834999999997</v>
      </c>
      <c r="R65" s="37">
        <f t="shared" si="6"/>
        <v>1211.0835</v>
      </c>
    </row>
    <row r="66" spans="1:18" s="1" customFormat="1" ht="15" x14ac:dyDescent="0.25">
      <c r="A66" s="27" t="s">
        <v>25</v>
      </c>
      <c r="B66" s="28" t="s">
        <v>45</v>
      </c>
      <c r="C66" s="29" t="s">
        <v>95</v>
      </c>
      <c r="D66" s="30">
        <v>1909.4364000000005</v>
      </c>
      <c r="E66" s="38">
        <f t="shared" si="7"/>
        <v>2341.7465999999999</v>
      </c>
      <c r="F66" s="32">
        <f>101.1697*P66</f>
        <v>2322.68432351</v>
      </c>
      <c r="G66" s="32">
        <f t="shared" si="3"/>
        <v>1928.4986764900009</v>
      </c>
      <c r="H66" s="33">
        <f t="shared" si="4"/>
        <v>1.47649000086858E-3</v>
      </c>
      <c r="I66" t="s">
        <v>95</v>
      </c>
      <c r="J66" t="s">
        <v>44</v>
      </c>
      <c r="K66">
        <v>102</v>
      </c>
      <c r="L66" s="31">
        <f t="shared" si="0"/>
        <v>2341.7465999999999</v>
      </c>
      <c r="M66">
        <v>18</v>
      </c>
      <c r="N66" s="31">
        <f t="shared" si="5"/>
        <v>413.24939999999998</v>
      </c>
      <c r="O66" s="34">
        <v>84</v>
      </c>
      <c r="P66" s="35">
        <v>22.958299999999998</v>
      </c>
      <c r="Q66" s="36">
        <v>1928.4972</v>
      </c>
      <c r="R66" s="37">
        <f t="shared" si="6"/>
        <v>1928.4972</v>
      </c>
    </row>
    <row r="67" spans="1:18" s="1" customFormat="1" ht="15" x14ac:dyDescent="0.25">
      <c r="A67" s="27" t="s">
        <v>25</v>
      </c>
      <c r="B67" s="28" t="s">
        <v>45</v>
      </c>
      <c r="C67" s="29" t="s">
        <v>96</v>
      </c>
      <c r="D67" s="30">
        <v>3308.6749</v>
      </c>
      <c r="E67" s="38">
        <f t="shared" si="7"/>
        <v>3308.9318999999996</v>
      </c>
      <c r="F67" s="32">
        <f>102.9924*P67</f>
        <v>3513.3488434799997</v>
      </c>
      <c r="G67" s="32">
        <f t="shared" si="3"/>
        <v>3104.2579565199999</v>
      </c>
      <c r="H67" s="33">
        <f t="shared" si="4"/>
        <v>2.256520000173623E-3</v>
      </c>
      <c r="I67" t="s">
        <v>96</v>
      </c>
      <c r="J67" t="s">
        <v>44</v>
      </c>
      <c r="K67">
        <v>97</v>
      </c>
      <c r="L67" s="31">
        <f t="shared" si="0"/>
        <v>3308.9318999999996</v>
      </c>
      <c r="M67">
        <v>6</v>
      </c>
      <c r="N67" s="31">
        <f t="shared" si="5"/>
        <v>204.67619999999999</v>
      </c>
      <c r="O67" s="34">
        <v>91</v>
      </c>
      <c r="P67" s="35">
        <v>34.112699999999997</v>
      </c>
      <c r="Q67" s="36">
        <v>3104.2556999999997</v>
      </c>
      <c r="R67" s="37">
        <f t="shared" si="6"/>
        <v>3104.2556999999997</v>
      </c>
    </row>
    <row r="68" spans="1:18" s="1" customFormat="1" ht="15" x14ac:dyDescent="0.25">
      <c r="A68" s="27" t="s">
        <v>25</v>
      </c>
      <c r="B68" s="28" t="s">
        <v>45</v>
      </c>
      <c r="C68" s="29" t="s">
        <v>97</v>
      </c>
      <c r="D68" s="30">
        <v>2663.4252000000006</v>
      </c>
      <c r="E68" s="38">
        <f t="shared" si="7"/>
        <v>2663.4762000000001</v>
      </c>
      <c r="F68" s="32">
        <f>82.9985*P68</f>
        <v>2870.9679141000006</v>
      </c>
      <c r="G68" s="32">
        <f t="shared" si="3"/>
        <v>2455.9334859000001</v>
      </c>
      <c r="H68" s="33">
        <f t="shared" si="4"/>
        <v>8.8589999950272613E-4</v>
      </c>
      <c r="I68" t="s">
        <v>97</v>
      </c>
      <c r="J68" t="s">
        <v>44</v>
      </c>
      <c r="K68">
        <v>77</v>
      </c>
      <c r="L68" s="31">
        <f t="shared" si="0"/>
        <v>2663.4762000000001</v>
      </c>
      <c r="M68">
        <v>6</v>
      </c>
      <c r="N68" s="31">
        <f t="shared" si="5"/>
        <v>207.54360000000003</v>
      </c>
      <c r="O68" s="34">
        <v>71</v>
      </c>
      <c r="P68" s="35">
        <v>34.590600000000002</v>
      </c>
      <c r="Q68" s="36">
        <v>2455.9326000000005</v>
      </c>
      <c r="R68" s="37">
        <f t="shared" si="6"/>
        <v>2455.9326000000001</v>
      </c>
    </row>
    <row r="69" spans="1:18" s="1" customFormat="1" ht="15" x14ac:dyDescent="0.25">
      <c r="A69" s="27" t="s">
        <v>25</v>
      </c>
      <c r="B69" s="28" t="s">
        <v>45</v>
      </c>
      <c r="C69" s="29" t="s">
        <v>98</v>
      </c>
      <c r="D69" s="30">
        <v>331.26000000000022</v>
      </c>
      <c r="E69" s="38">
        <f t="shared" si="7"/>
        <v>1381.2603999999999</v>
      </c>
      <c r="F69" s="32">
        <f>10.1177*P69</f>
        <v>1075.0137191599999</v>
      </c>
      <c r="G69" s="32">
        <f t="shared" si="3"/>
        <v>637.50668084000017</v>
      </c>
      <c r="H69" s="33">
        <f t="shared" si="4"/>
        <v>1.8808400001262271E-3</v>
      </c>
      <c r="I69" t="s">
        <v>98</v>
      </c>
      <c r="J69" t="s">
        <v>44</v>
      </c>
      <c r="K69">
        <v>13</v>
      </c>
      <c r="L69" s="31">
        <f t="shared" si="0"/>
        <v>1381.2603999999999</v>
      </c>
      <c r="M69">
        <v>7</v>
      </c>
      <c r="N69" s="31">
        <f t="shared" si="5"/>
        <v>743.75559999999996</v>
      </c>
      <c r="O69" s="34">
        <v>6</v>
      </c>
      <c r="P69" s="35">
        <v>106.2508</v>
      </c>
      <c r="Q69" s="36">
        <v>637.50480000000005</v>
      </c>
      <c r="R69" s="37">
        <f t="shared" si="6"/>
        <v>637.50479999999993</v>
      </c>
    </row>
    <row r="70" spans="1:18" s="1" customFormat="1" ht="15" x14ac:dyDescent="0.25">
      <c r="A70" s="27" t="s">
        <v>25</v>
      </c>
      <c r="B70" s="28" t="s">
        <v>45</v>
      </c>
      <c r="C70" s="29" t="s">
        <v>99</v>
      </c>
      <c r="D70" s="30">
        <v>4749.3563999999988</v>
      </c>
      <c r="E70" s="38">
        <f t="shared" si="7"/>
        <v>4929.0870000000004</v>
      </c>
      <c r="F70" s="32">
        <f>177.5094*P70</f>
        <v>4915.5015500999998</v>
      </c>
      <c r="G70" s="32">
        <f t="shared" si="3"/>
        <v>4762.9418499000003</v>
      </c>
      <c r="H70" s="33">
        <f t="shared" si="4"/>
        <v>3.8499000002047978E-3</v>
      </c>
      <c r="I70" t="s">
        <v>99</v>
      </c>
      <c r="J70" t="s">
        <v>44</v>
      </c>
      <c r="K70">
        <v>178</v>
      </c>
      <c r="L70" s="31">
        <f t="shared" si="0"/>
        <v>4929.0870000000004</v>
      </c>
      <c r="M70">
        <v>6</v>
      </c>
      <c r="N70" s="31">
        <f t="shared" si="5"/>
        <v>166.149</v>
      </c>
      <c r="O70" s="34">
        <v>172</v>
      </c>
      <c r="P70" s="35">
        <v>27.691500000000001</v>
      </c>
      <c r="Q70" s="36">
        <v>4762.9380000000001</v>
      </c>
      <c r="R70" s="37">
        <f t="shared" si="6"/>
        <v>4762.9380000000001</v>
      </c>
    </row>
    <row r="71" spans="1:18" s="1" customFormat="1" ht="15" x14ac:dyDescent="0.25">
      <c r="A71" s="27" t="s">
        <v>25</v>
      </c>
      <c r="B71" s="28" t="s">
        <v>45</v>
      </c>
      <c r="C71" s="29" t="s">
        <v>100</v>
      </c>
      <c r="D71" s="30">
        <v>1682.3219999999992</v>
      </c>
      <c r="E71" s="38">
        <f t="shared" si="7"/>
        <v>1760.9059999999999</v>
      </c>
      <c r="F71" s="32">
        <f>160.4844*P71</f>
        <v>1935.6023484</v>
      </c>
      <c r="G71" s="32">
        <f t="shared" si="3"/>
        <v>1507.6256515999992</v>
      </c>
      <c r="H71" s="33">
        <f t="shared" si="4"/>
        <v>6.5159999940078706E-4</v>
      </c>
      <c r="I71" t="s">
        <v>100</v>
      </c>
      <c r="J71" t="s">
        <v>44</v>
      </c>
      <c r="K71">
        <v>146</v>
      </c>
      <c r="L71" s="31">
        <f t="shared" si="0"/>
        <v>1760.9059999999999</v>
      </c>
      <c r="M71">
        <v>21</v>
      </c>
      <c r="N71" s="31">
        <f t="shared" si="5"/>
        <v>253.28100000000001</v>
      </c>
      <c r="O71" s="34">
        <v>125</v>
      </c>
      <c r="P71" s="35">
        <v>12.061</v>
      </c>
      <c r="Q71" s="36">
        <v>1507.6249999999998</v>
      </c>
      <c r="R71" s="37">
        <f t="shared" si="6"/>
        <v>1507.625</v>
      </c>
    </row>
    <row r="72" spans="1:18" s="1" customFormat="1" ht="15" x14ac:dyDescent="0.25">
      <c r="A72" s="27" t="s">
        <v>25</v>
      </c>
      <c r="B72" s="28" t="s">
        <v>29</v>
      </c>
      <c r="C72" s="29" t="s">
        <v>101</v>
      </c>
      <c r="D72" s="30">
        <v>664.32320000000072</v>
      </c>
      <c r="E72" s="38">
        <f t="shared" si="7"/>
        <v>2694.2993999999999</v>
      </c>
      <c r="F72" s="32">
        <f>26.6161*P72</f>
        <v>1838.7626220599998</v>
      </c>
      <c r="G72" s="32">
        <f t="shared" si="3"/>
        <v>1519.8599779400008</v>
      </c>
      <c r="H72" s="33">
        <f t="shared" si="4"/>
        <v>-1.2220599992360803E-3</v>
      </c>
      <c r="I72" t="s">
        <v>101</v>
      </c>
      <c r="J72" t="s">
        <v>102</v>
      </c>
      <c r="K72">
        <v>39</v>
      </c>
      <c r="L72" s="31">
        <f t="shared" si="0"/>
        <v>2694.2993999999999</v>
      </c>
      <c r="M72">
        <v>17</v>
      </c>
      <c r="N72" s="31">
        <f t="shared" si="5"/>
        <v>1174.4381999999998</v>
      </c>
      <c r="O72" s="34">
        <v>22</v>
      </c>
      <c r="P72" s="35">
        <v>69.084599999999995</v>
      </c>
      <c r="Q72" s="36">
        <v>1519.8612000000001</v>
      </c>
      <c r="R72" s="37">
        <f t="shared" si="6"/>
        <v>1519.8612000000001</v>
      </c>
    </row>
    <row r="73" spans="1:18" s="1" customFormat="1" ht="15" x14ac:dyDescent="0.25">
      <c r="A73" s="27" t="s">
        <v>25</v>
      </c>
      <c r="B73" s="28" t="s">
        <v>47</v>
      </c>
      <c r="C73" s="29" t="s">
        <v>103</v>
      </c>
      <c r="D73" s="30">
        <v>1278</v>
      </c>
      <c r="E73" s="38">
        <f t="shared" si="7"/>
        <v>1277.9964000000002</v>
      </c>
      <c r="F73" s="32">
        <f>7*P73</f>
        <v>1490.9958000000001</v>
      </c>
      <c r="G73" s="32">
        <f t="shared" si="3"/>
        <v>1065.0005999999998</v>
      </c>
      <c r="H73" s="33">
        <f t="shared" si="4"/>
        <v>3.5999999997784471E-3</v>
      </c>
      <c r="I73" t="s">
        <v>103</v>
      </c>
      <c r="J73" t="s">
        <v>28</v>
      </c>
      <c r="K73">
        <v>6</v>
      </c>
      <c r="L73" s="31">
        <f t="shared" si="0"/>
        <v>1277.9964000000002</v>
      </c>
      <c r="M73">
        <v>1</v>
      </c>
      <c r="N73" s="31">
        <f t="shared" si="5"/>
        <v>212.99940000000004</v>
      </c>
      <c r="O73" s="34">
        <v>5</v>
      </c>
      <c r="P73" s="35">
        <v>212.99940000000004</v>
      </c>
      <c r="Q73" s="36">
        <v>1064.9970000000001</v>
      </c>
      <c r="R73" s="37">
        <f t="shared" si="6"/>
        <v>1064.9970000000003</v>
      </c>
    </row>
    <row r="74" spans="1:18" s="1" customFormat="1" ht="15" x14ac:dyDescent="0.25">
      <c r="A74" s="27" t="s">
        <v>25</v>
      </c>
      <c r="B74" s="28" t="s">
        <v>47</v>
      </c>
      <c r="C74" s="29" t="s">
        <v>104</v>
      </c>
      <c r="D74" s="30">
        <v>3683.1165000000001</v>
      </c>
      <c r="E74" s="38">
        <f t="shared" si="7"/>
        <v>3683.0766000000003</v>
      </c>
      <c r="F74" s="32">
        <f>14.00015*P74</f>
        <v>3683.1160615350004</v>
      </c>
      <c r="G74" s="32">
        <f t="shared" si="3"/>
        <v>3683.077038465</v>
      </c>
      <c r="H74" s="33">
        <f t="shared" si="4"/>
        <v>4.3846500011568423E-4</v>
      </c>
      <c r="I74" t="s">
        <v>104</v>
      </c>
      <c r="J74" t="s">
        <v>105</v>
      </c>
      <c r="K74">
        <v>14</v>
      </c>
      <c r="L74" s="31">
        <f t="shared" si="0"/>
        <v>3683.0766000000003</v>
      </c>
      <c r="M74">
        <v>0</v>
      </c>
      <c r="N74" s="31">
        <f t="shared" si="5"/>
        <v>0</v>
      </c>
      <c r="O74" s="34">
        <v>14</v>
      </c>
      <c r="P74" s="35">
        <v>263.07690000000002</v>
      </c>
      <c r="Q74" s="36">
        <v>3683.0765999999999</v>
      </c>
      <c r="R74" s="37">
        <f t="shared" si="6"/>
        <v>3683.0766000000003</v>
      </c>
    </row>
    <row r="75" spans="1:18" s="1" customFormat="1" ht="15" x14ac:dyDescent="0.25">
      <c r="A75" s="27" t="s">
        <v>25</v>
      </c>
      <c r="B75" s="28" t="s">
        <v>47</v>
      </c>
      <c r="C75" s="29" t="s">
        <v>106</v>
      </c>
      <c r="D75" s="30">
        <v>6099.6020000000008</v>
      </c>
      <c r="E75" s="38">
        <f t="shared" si="7"/>
        <v>6099.4079999999994</v>
      </c>
      <c r="F75" s="32">
        <f>40.00125*P75</f>
        <v>6099.5986064999997</v>
      </c>
      <c r="G75" s="32">
        <f t="shared" si="3"/>
        <v>6099.4113935000005</v>
      </c>
      <c r="H75" s="33">
        <f t="shared" si="4"/>
        <v>3.3935000010387739E-3</v>
      </c>
      <c r="I75" t="s">
        <v>106</v>
      </c>
      <c r="J75" t="s">
        <v>105</v>
      </c>
      <c r="K75">
        <v>40</v>
      </c>
      <c r="L75" s="31">
        <f t="shared" si="0"/>
        <v>6099.4079999999994</v>
      </c>
      <c r="M75">
        <v>0</v>
      </c>
      <c r="N75" s="31">
        <f t="shared" si="5"/>
        <v>0</v>
      </c>
      <c r="O75" s="34">
        <v>40</v>
      </c>
      <c r="P75" s="35">
        <v>152.48519999999999</v>
      </c>
      <c r="Q75" s="36">
        <v>6099.4079999999994</v>
      </c>
      <c r="R75" s="37">
        <f t="shared" si="6"/>
        <v>6099.4079999999994</v>
      </c>
    </row>
    <row r="76" spans="1:18" s="1" customFormat="1" ht="15" x14ac:dyDescent="0.25">
      <c r="A76" s="27" t="s">
        <v>25</v>
      </c>
      <c r="B76" s="28" t="s">
        <v>47</v>
      </c>
      <c r="C76" s="29" t="s">
        <v>107</v>
      </c>
      <c r="D76" s="30">
        <v>6522.8054000000011</v>
      </c>
      <c r="E76" s="38">
        <f t="shared" si="7"/>
        <v>6522.6409000000003</v>
      </c>
      <c r="F76" s="32">
        <f>121.0022*P76</f>
        <v>8868.021333820001</v>
      </c>
      <c r="G76" s="32">
        <f t="shared" si="3"/>
        <v>4177.4249661800004</v>
      </c>
      <c r="H76" s="33">
        <f t="shared" si="4"/>
        <v>3.2661800005371333E-3</v>
      </c>
      <c r="I76" t="s">
        <v>107</v>
      </c>
      <c r="J76" t="s">
        <v>105</v>
      </c>
      <c r="K76">
        <v>89</v>
      </c>
      <c r="L76" s="31">
        <f t="shared" si="0"/>
        <v>6522.6409000000003</v>
      </c>
      <c r="M76">
        <v>32</v>
      </c>
      <c r="N76" s="31">
        <f t="shared" si="5"/>
        <v>2345.2192</v>
      </c>
      <c r="O76" s="34">
        <v>57</v>
      </c>
      <c r="P76" s="35">
        <v>73.2881</v>
      </c>
      <c r="Q76" s="36">
        <v>4177.4216999999999</v>
      </c>
      <c r="R76" s="37">
        <f t="shared" si="6"/>
        <v>4177.4217000000008</v>
      </c>
    </row>
    <row r="77" spans="1:18" s="1" customFormat="1" ht="15" x14ac:dyDescent="0.25">
      <c r="A77" s="27" t="s">
        <v>25</v>
      </c>
      <c r="B77" s="28" t="s">
        <v>45</v>
      </c>
      <c r="C77" s="29" t="s">
        <v>108</v>
      </c>
      <c r="D77" s="30">
        <v>450.74869999999964</v>
      </c>
      <c r="E77" s="38">
        <f t="shared" si="7"/>
        <v>1087.02</v>
      </c>
      <c r="F77" s="32">
        <f>18.196*P77</f>
        <v>732.57096000000001</v>
      </c>
      <c r="G77" s="32">
        <f t="shared" si="3"/>
        <v>805.19773999999961</v>
      </c>
      <c r="H77" s="33">
        <f t="shared" si="4"/>
        <v>-2.2600000004331378E-3</v>
      </c>
      <c r="I77" t="s">
        <v>108</v>
      </c>
      <c r="J77" t="s">
        <v>28</v>
      </c>
      <c r="K77">
        <v>27</v>
      </c>
      <c r="L77" s="31">
        <f t="shared" ref="L77:L140" si="8">+K77*P77</f>
        <v>1087.02</v>
      </c>
      <c r="M77">
        <v>7</v>
      </c>
      <c r="N77" s="31">
        <f t="shared" si="5"/>
        <v>281.82</v>
      </c>
      <c r="O77" s="34">
        <v>20</v>
      </c>
      <c r="P77" s="35">
        <v>40.26</v>
      </c>
      <c r="Q77" s="36">
        <v>805.2</v>
      </c>
      <c r="R77" s="37">
        <f t="shared" si="6"/>
        <v>805.2</v>
      </c>
    </row>
    <row r="78" spans="1:18" s="1" customFormat="1" ht="15" x14ac:dyDescent="0.25">
      <c r="A78" s="27" t="s">
        <v>25</v>
      </c>
      <c r="B78" s="28" t="s">
        <v>26</v>
      </c>
      <c r="C78" s="29" t="s">
        <v>109</v>
      </c>
      <c r="D78" s="30">
        <v>2836.119999999999</v>
      </c>
      <c r="E78" s="38">
        <f t="shared" si="7"/>
        <v>3694.0203000000006</v>
      </c>
      <c r="F78" s="32">
        <f>9.90983*P78</f>
        <v>4067.4570210610004</v>
      </c>
      <c r="G78" s="32">
        <f t="shared" ref="G78:G141" si="9">+D78+E78-F78</f>
        <v>2462.6832789389987</v>
      </c>
      <c r="H78" s="33">
        <f t="shared" ref="H78:H141" si="10">+G78-Q78</f>
        <v>3.0789389979872794E-3</v>
      </c>
      <c r="I78" t="s">
        <v>109</v>
      </c>
      <c r="J78" t="s">
        <v>28</v>
      </c>
      <c r="K78">
        <v>9</v>
      </c>
      <c r="L78" s="31">
        <f t="shared" si="8"/>
        <v>3694.0203000000006</v>
      </c>
      <c r="M78">
        <v>3</v>
      </c>
      <c r="N78" s="31">
        <f t="shared" si="5"/>
        <v>1231.3401000000003</v>
      </c>
      <c r="O78" s="34">
        <v>6</v>
      </c>
      <c r="P78" s="35">
        <v>410.44670000000008</v>
      </c>
      <c r="Q78" s="36">
        <v>2462.6802000000007</v>
      </c>
      <c r="R78" s="37">
        <f t="shared" si="6"/>
        <v>2462.6802000000002</v>
      </c>
    </row>
    <row r="79" spans="1:18" s="1" customFormat="1" ht="15" x14ac:dyDescent="0.25">
      <c r="A79" s="27" t="s">
        <v>25</v>
      </c>
      <c r="B79" s="28" t="s">
        <v>110</v>
      </c>
      <c r="C79" s="29" t="s">
        <v>111</v>
      </c>
      <c r="D79" s="30">
        <v>75.129999999999654</v>
      </c>
      <c r="E79" s="38">
        <f t="shared" si="7"/>
        <v>3320.018</v>
      </c>
      <c r="F79" s="32">
        <f>3.1767*P79</f>
        <v>202.82117654999999</v>
      </c>
      <c r="G79" s="32">
        <f t="shared" si="9"/>
        <v>3192.3268234499997</v>
      </c>
      <c r="H79" s="33">
        <f t="shared" si="10"/>
        <v>1.823449999847071E-3</v>
      </c>
      <c r="I79" t="s">
        <v>111</v>
      </c>
      <c r="J79" t="s">
        <v>42</v>
      </c>
      <c r="K79">
        <v>52</v>
      </c>
      <c r="L79" s="31">
        <f t="shared" si="8"/>
        <v>3320.018</v>
      </c>
      <c r="M79">
        <v>2</v>
      </c>
      <c r="N79" s="31">
        <f t="shared" si="5"/>
        <v>127.693</v>
      </c>
      <c r="O79" s="34">
        <v>50</v>
      </c>
      <c r="P79" s="35">
        <v>63.846499999999999</v>
      </c>
      <c r="Q79" s="36">
        <v>3192.3249999999998</v>
      </c>
      <c r="R79" s="37">
        <f t="shared" si="6"/>
        <v>3192.3249999999998</v>
      </c>
    </row>
    <row r="80" spans="1:18" s="1" customFormat="1" ht="15" x14ac:dyDescent="0.25">
      <c r="A80" s="27" t="s">
        <v>25</v>
      </c>
      <c r="B80" s="28" t="s">
        <v>29</v>
      </c>
      <c r="C80" s="29" t="s">
        <v>112</v>
      </c>
      <c r="D80" s="30">
        <v>313.63999999999987</v>
      </c>
      <c r="E80" s="38">
        <f t="shared" si="7"/>
        <v>986.25</v>
      </c>
      <c r="F80" s="32">
        <f>2.27205*P80</f>
        <v>560.20232812500001</v>
      </c>
      <c r="G80" s="32">
        <f t="shared" si="9"/>
        <v>739.68767187499986</v>
      </c>
      <c r="H80" s="33">
        <f t="shared" si="10"/>
        <v>1.7187499986448529E-4</v>
      </c>
      <c r="I80" t="s">
        <v>112</v>
      </c>
      <c r="J80" t="s">
        <v>113</v>
      </c>
      <c r="K80">
        <v>4</v>
      </c>
      <c r="L80" s="31">
        <f t="shared" si="8"/>
        <v>986.25</v>
      </c>
      <c r="M80">
        <v>1</v>
      </c>
      <c r="N80" s="31">
        <f t="shared" si="5"/>
        <v>246.5625</v>
      </c>
      <c r="O80" s="34">
        <v>3</v>
      </c>
      <c r="P80" s="35">
        <v>246.5625</v>
      </c>
      <c r="Q80" s="36">
        <v>739.6875</v>
      </c>
      <c r="R80" s="37">
        <f t="shared" si="6"/>
        <v>739.6875</v>
      </c>
    </row>
    <row r="81" spans="1:18" s="1" customFormat="1" ht="15" x14ac:dyDescent="0.25">
      <c r="A81" s="27" t="s">
        <v>25</v>
      </c>
      <c r="B81" s="28" t="s">
        <v>47</v>
      </c>
      <c r="C81" s="29" t="s">
        <v>114</v>
      </c>
      <c r="D81" s="30">
        <v>4125.6001999999989</v>
      </c>
      <c r="E81" s="38">
        <f t="shared" si="7"/>
        <v>4125.6144000000004</v>
      </c>
      <c r="F81" s="32">
        <f>16.99994*P81</f>
        <v>4383.4498289459998</v>
      </c>
      <c r="G81" s="32">
        <f t="shared" si="9"/>
        <v>3867.7647710539995</v>
      </c>
      <c r="H81" s="33">
        <f t="shared" si="10"/>
        <v>1.2710539986073854E-3</v>
      </c>
      <c r="I81" t="s">
        <v>114</v>
      </c>
      <c r="J81" t="s">
        <v>115</v>
      </c>
      <c r="K81">
        <v>16</v>
      </c>
      <c r="L81" s="31">
        <f t="shared" si="8"/>
        <v>4125.6144000000004</v>
      </c>
      <c r="M81">
        <v>1</v>
      </c>
      <c r="N81" s="31">
        <f t="shared" si="5"/>
        <v>257.85090000000002</v>
      </c>
      <c r="O81" s="34">
        <v>15</v>
      </c>
      <c r="P81" s="35">
        <v>257.85090000000002</v>
      </c>
      <c r="Q81" s="36">
        <v>3867.7635000000009</v>
      </c>
      <c r="R81" s="37">
        <f t="shared" si="6"/>
        <v>3867.7635000000005</v>
      </c>
    </row>
    <row r="82" spans="1:18" s="1" customFormat="1" ht="15" x14ac:dyDescent="0.25">
      <c r="A82" s="27" t="s">
        <v>25</v>
      </c>
      <c r="B82" s="28" t="s">
        <v>47</v>
      </c>
      <c r="C82" s="29" t="s">
        <v>116</v>
      </c>
      <c r="D82" s="30">
        <v>1699.2000000000003</v>
      </c>
      <c r="E82" s="38">
        <f t="shared" si="7"/>
        <v>1699.2</v>
      </c>
      <c r="F82" s="32">
        <f>8*P82</f>
        <v>1699.2</v>
      </c>
      <c r="G82" s="32">
        <f t="shared" si="9"/>
        <v>1699.2000000000005</v>
      </c>
      <c r="H82" s="33">
        <f t="shared" si="10"/>
        <v>0</v>
      </c>
      <c r="I82" t="s">
        <v>116</v>
      </c>
      <c r="J82" t="s">
        <v>115</v>
      </c>
      <c r="K82">
        <v>8</v>
      </c>
      <c r="L82" s="31">
        <f t="shared" si="8"/>
        <v>1699.2</v>
      </c>
      <c r="M82">
        <v>0</v>
      </c>
      <c r="N82" s="31">
        <f t="shared" si="5"/>
        <v>0</v>
      </c>
      <c r="O82" s="34">
        <v>8</v>
      </c>
      <c r="P82" s="35">
        <v>212.4</v>
      </c>
      <c r="Q82" s="36">
        <v>1699.2</v>
      </c>
      <c r="R82" s="37">
        <f t="shared" si="6"/>
        <v>1699.2</v>
      </c>
    </row>
    <row r="83" spans="1:18" s="1" customFormat="1" ht="15" x14ac:dyDescent="0.25">
      <c r="A83" s="27" t="s">
        <v>25</v>
      </c>
      <c r="B83" s="28" t="s">
        <v>47</v>
      </c>
      <c r="C83" s="29" t="s">
        <v>117</v>
      </c>
      <c r="D83" s="30">
        <v>3747.6007000000009</v>
      </c>
      <c r="E83" s="38">
        <f t="shared" si="7"/>
        <v>3747.6419999999998</v>
      </c>
      <c r="F83" s="32">
        <f>13.99988*P83</f>
        <v>5246.6538282959991</v>
      </c>
      <c r="G83" s="32">
        <f t="shared" si="9"/>
        <v>2248.5888717040016</v>
      </c>
      <c r="H83" s="33">
        <f t="shared" si="10"/>
        <v>3.6717040015901148E-3</v>
      </c>
      <c r="I83" t="s">
        <v>117</v>
      </c>
      <c r="J83" t="s">
        <v>105</v>
      </c>
      <c r="K83">
        <v>10</v>
      </c>
      <c r="L83" s="31">
        <f t="shared" si="8"/>
        <v>3747.6419999999998</v>
      </c>
      <c r="M83">
        <v>4</v>
      </c>
      <c r="N83" s="31">
        <f t="shared" si="5"/>
        <v>1499.0567999999998</v>
      </c>
      <c r="O83" s="34">
        <v>6</v>
      </c>
      <c r="P83" s="35">
        <v>374.76419999999996</v>
      </c>
      <c r="Q83" s="36">
        <v>2248.5852</v>
      </c>
      <c r="R83" s="37">
        <f t="shared" si="6"/>
        <v>2248.5852</v>
      </c>
    </row>
    <row r="84" spans="1:18" s="1" customFormat="1" ht="15" x14ac:dyDescent="0.25">
      <c r="A84" s="27" t="s">
        <v>25</v>
      </c>
      <c r="B84" s="28" t="s">
        <v>29</v>
      </c>
      <c r="C84" s="29" t="s">
        <v>118</v>
      </c>
      <c r="D84" s="30">
        <v>440.68019999999979</v>
      </c>
      <c r="E84" s="38">
        <f t="shared" si="7"/>
        <v>440.69339999999994</v>
      </c>
      <c r="F84" s="32">
        <f>2.99994*P84</f>
        <v>661.02687919799996</v>
      </c>
      <c r="G84" s="32">
        <f t="shared" si="9"/>
        <v>220.34672080199971</v>
      </c>
      <c r="H84" s="33">
        <f t="shared" si="10"/>
        <v>2.0801999738750965E-5</v>
      </c>
      <c r="I84" t="s">
        <v>118</v>
      </c>
      <c r="J84" t="s">
        <v>34</v>
      </c>
      <c r="K84">
        <v>2</v>
      </c>
      <c r="L84" s="31">
        <f t="shared" si="8"/>
        <v>440.69339999999994</v>
      </c>
      <c r="M84">
        <v>1</v>
      </c>
      <c r="N84" s="31">
        <f t="shared" ref="N84:N147" si="11">+M84*P84</f>
        <v>220.34669999999997</v>
      </c>
      <c r="O84" s="34">
        <v>1</v>
      </c>
      <c r="P84" s="35">
        <v>220.34669999999997</v>
      </c>
      <c r="Q84" s="36">
        <v>220.34669999999997</v>
      </c>
      <c r="R84" s="37">
        <f t="shared" ref="R84:R147" si="12">+L84-N84</f>
        <v>220.34669999999997</v>
      </c>
    </row>
    <row r="85" spans="1:18" s="1" customFormat="1" ht="15" x14ac:dyDescent="0.25">
      <c r="A85" s="27" t="s">
        <v>25</v>
      </c>
      <c r="B85" s="28" t="s">
        <v>29</v>
      </c>
      <c r="C85" s="29" t="s">
        <v>119</v>
      </c>
      <c r="D85" s="30">
        <v>1583.6799999999985</v>
      </c>
      <c r="E85" s="38">
        <f t="shared" ref="E85:E148" si="13">+K85*P85</f>
        <v>8733.098899999999</v>
      </c>
      <c r="F85" s="32">
        <f>25.70965*P85</f>
        <v>6068.2409766049987</v>
      </c>
      <c r="G85" s="32">
        <f t="shared" si="9"/>
        <v>4248.5379233949989</v>
      </c>
      <c r="H85" s="33">
        <f t="shared" si="10"/>
        <v>3.3233949998248136E-3</v>
      </c>
      <c r="I85" t="s">
        <v>119</v>
      </c>
      <c r="J85" t="s">
        <v>102</v>
      </c>
      <c r="K85">
        <v>37</v>
      </c>
      <c r="L85" s="31">
        <f t="shared" si="8"/>
        <v>8733.098899999999</v>
      </c>
      <c r="M85">
        <v>19</v>
      </c>
      <c r="N85" s="31">
        <f t="shared" si="11"/>
        <v>4484.5642999999991</v>
      </c>
      <c r="O85" s="34">
        <v>18</v>
      </c>
      <c r="P85" s="35">
        <v>236.02969999999996</v>
      </c>
      <c r="Q85" s="36">
        <v>4248.534599999999</v>
      </c>
      <c r="R85" s="37">
        <f t="shared" si="12"/>
        <v>4248.5346</v>
      </c>
    </row>
    <row r="86" spans="1:18" s="1" customFormat="1" ht="15" x14ac:dyDescent="0.25">
      <c r="A86" s="27" t="s">
        <v>25</v>
      </c>
      <c r="B86" s="28" t="s">
        <v>29</v>
      </c>
      <c r="C86" s="29" t="s">
        <v>120</v>
      </c>
      <c r="D86" s="30">
        <v>4208.823799999991</v>
      </c>
      <c r="E86" s="38">
        <f t="shared" si="13"/>
        <v>4208.8521999999994</v>
      </c>
      <c r="F86" s="32">
        <f>9.99995*P86</f>
        <v>6012.6159367700002</v>
      </c>
      <c r="G86" s="32">
        <f t="shared" si="9"/>
        <v>2405.0600632299902</v>
      </c>
      <c r="H86" s="33">
        <f t="shared" si="10"/>
        <v>1.6632299902994419E-3</v>
      </c>
      <c r="I86" t="s">
        <v>120</v>
      </c>
      <c r="J86" t="s">
        <v>28</v>
      </c>
      <c r="K86">
        <v>7</v>
      </c>
      <c r="L86" s="31">
        <f t="shared" si="8"/>
        <v>4208.8521999999994</v>
      </c>
      <c r="M86">
        <v>3</v>
      </c>
      <c r="N86" s="31">
        <f t="shared" si="11"/>
        <v>1803.7937999999999</v>
      </c>
      <c r="O86" s="34">
        <v>4</v>
      </c>
      <c r="P86" s="35">
        <v>601.26459999999997</v>
      </c>
      <c r="Q86" s="36">
        <v>2405.0583999999999</v>
      </c>
      <c r="R86" s="37">
        <f t="shared" si="12"/>
        <v>2405.0583999999994</v>
      </c>
    </row>
    <row r="87" spans="1:18" s="1" customFormat="1" ht="15" x14ac:dyDescent="0.25">
      <c r="A87" s="27" t="s">
        <v>25</v>
      </c>
      <c r="B87" s="28" t="s">
        <v>29</v>
      </c>
      <c r="C87" s="29" t="s">
        <v>121</v>
      </c>
      <c r="D87" s="30">
        <v>723.54</v>
      </c>
      <c r="E87" s="38">
        <f t="shared" si="13"/>
        <v>723.53</v>
      </c>
      <c r="F87" s="32">
        <f>4.00002*P87</f>
        <v>1447.0672353</v>
      </c>
      <c r="G87" s="32">
        <f t="shared" si="9"/>
        <v>2.7646999999433319E-3</v>
      </c>
      <c r="H87" s="33">
        <f t="shared" si="10"/>
        <v>2.7646999999433319E-3</v>
      </c>
      <c r="I87" t="s">
        <v>121</v>
      </c>
      <c r="J87" t="s">
        <v>28</v>
      </c>
      <c r="K87">
        <v>2</v>
      </c>
      <c r="L87" s="31">
        <f t="shared" si="8"/>
        <v>723.53</v>
      </c>
      <c r="M87">
        <v>2</v>
      </c>
      <c r="N87" s="31">
        <f t="shared" si="11"/>
        <v>723.53</v>
      </c>
      <c r="O87" s="34">
        <v>0</v>
      </c>
      <c r="P87" s="35">
        <v>361.76499999999999</v>
      </c>
      <c r="Q87" s="36">
        <v>0</v>
      </c>
      <c r="R87" s="37">
        <f t="shared" si="12"/>
        <v>0</v>
      </c>
    </row>
    <row r="88" spans="1:18" s="1" customFormat="1" ht="15" x14ac:dyDescent="0.25">
      <c r="A88" s="27" t="s">
        <v>25</v>
      </c>
      <c r="B88" s="28" t="s">
        <v>45</v>
      </c>
      <c r="C88" s="29" t="s">
        <v>122</v>
      </c>
      <c r="D88" s="30">
        <v>5000.1875</v>
      </c>
      <c r="E88" s="38">
        <f t="shared" si="13"/>
        <v>14381.219700000001</v>
      </c>
      <c r="F88" s="32">
        <f>11.910707*P88</f>
        <v>10075.9114205487</v>
      </c>
      <c r="G88" s="32">
        <f t="shared" si="9"/>
        <v>9305.4957794513011</v>
      </c>
      <c r="H88" s="33">
        <f t="shared" si="10"/>
        <v>6.7945130103908014E-4</v>
      </c>
      <c r="I88" t="s">
        <v>122</v>
      </c>
      <c r="J88" t="s">
        <v>28</v>
      </c>
      <c r="K88">
        <v>17</v>
      </c>
      <c r="L88" s="31">
        <f t="shared" si="8"/>
        <v>14381.219700000001</v>
      </c>
      <c r="M88">
        <v>6</v>
      </c>
      <c r="N88" s="31">
        <f t="shared" si="11"/>
        <v>5075.7246000000005</v>
      </c>
      <c r="O88" s="34">
        <v>11</v>
      </c>
      <c r="P88" s="35">
        <v>845.95410000000004</v>
      </c>
      <c r="Q88" s="36">
        <v>9305.4951000000001</v>
      </c>
      <c r="R88" s="37">
        <f t="shared" si="12"/>
        <v>9305.4951000000001</v>
      </c>
    </row>
    <row r="89" spans="1:18" s="1" customFormat="1" x14ac:dyDescent="0.2">
      <c r="A89" s="27" t="s">
        <v>25</v>
      </c>
      <c r="B89" s="28" t="s">
        <v>45</v>
      </c>
      <c r="C89" s="29" t="s">
        <v>123</v>
      </c>
      <c r="D89" s="30">
        <v>23550.653800000007</v>
      </c>
      <c r="E89" s="38">
        <f t="shared" si="13"/>
        <v>0</v>
      </c>
      <c r="F89" s="32">
        <v>12340.87</v>
      </c>
      <c r="G89" s="32">
        <f t="shared" si="9"/>
        <v>11209.783800000007</v>
      </c>
      <c r="H89" s="37">
        <f t="shared" si="10"/>
        <v>11209.783800000007</v>
      </c>
      <c r="I89" s="39"/>
      <c r="J89" s="39"/>
      <c r="K89" s="39"/>
      <c r="L89" s="40"/>
      <c r="M89" s="39"/>
      <c r="N89" s="40"/>
      <c r="O89" s="41"/>
      <c r="P89" s="42"/>
      <c r="Q89" s="42"/>
      <c r="R89" s="37"/>
    </row>
    <row r="90" spans="1:18" s="1" customFormat="1" ht="15" x14ac:dyDescent="0.25">
      <c r="A90" s="27" t="s">
        <v>25</v>
      </c>
      <c r="B90" s="28" t="s">
        <v>45</v>
      </c>
      <c r="C90" s="29" t="s">
        <v>124</v>
      </c>
      <c r="D90" s="30">
        <v>773.55099999999993</v>
      </c>
      <c r="E90" s="38">
        <f t="shared" si="13"/>
        <v>1186.4902000000002</v>
      </c>
      <c r="F90" s="32">
        <f>12.1275*P90</f>
        <v>1027.7971357500001</v>
      </c>
      <c r="G90" s="32">
        <f t="shared" si="9"/>
        <v>932.24406425000006</v>
      </c>
      <c r="H90" s="33">
        <f t="shared" si="10"/>
        <v>1.7642500000647487E-3</v>
      </c>
      <c r="I90" t="s">
        <v>124</v>
      </c>
      <c r="J90" t="s">
        <v>28</v>
      </c>
      <c r="K90">
        <v>14</v>
      </c>
      <c r="L90" s="31">
        <f t="shared" si="8"/>
        <v>1186.4902000000002</v>
      </c>
      <c r="M90">
        <v>3</v>
      </c>
      <c r="N90" s="31">
        <f t="shared" si="11"/>
        <v>254.24790000000002</v>
      </c>
      <c r="O90" s="34">
        <v>11</v>
      </c>
      <c r="P90" s="35">
        <v>84.749300000000005</v>
      </c>
      <c r="Q90" s="36">
        <v>932.2423</v>
      </c>
      <c r="R90" s="37">
        <f t="shared" si="12"/>
        <v>932.24230000000011</v>
      </c>
    </row>
    <row r="91" spans="1:18" s="1" customFormat="1" ht="15" x14ac:dyDescent="0.25">
      <c r="A91" s="27" t="s">
        <v>25</v>
      </c>
      <c r="B91" s="28" t="s">
        <v>29</v>
      </c>
      <c r="C91" s="29" t="s">
        <v>125</v>
      </c>
      <c r="D91" s="30">
        <v>2298.2285000000011</v>
      </c>
      <c r="E91" s="38">
        <f t="shared" si="13"/>
        <v>2433.5298000000003</v>
      </c>
      <c r="F91" s="32">
        <f>21.9992*P91</f>
        <v>2974.2060431199998</v>
      </c>
      <c r="G91" s="32">
        <f t="shared" si="9"/>
        <v>1757.5522568800016</v>
      </c>
      <c r="H91" s="33">
        <f t="shared" si="10"/>
        <v>2.9568800016477326E-3</v>
      </c>
      <c r="I91" t="s">
        <v>125</v>
      </c>
      <c r="J91" t="s">
        <v>28</v>
      </c>
      <c r="K91">
        <v>18</v>
      </c>
      <c r="L91" s="31">
        <f t="shared" si="8"/>
        <v>2433.5298000000003</v>
      </c>
      <c r="M91">
        <v>5</v>
      </c>
      <c r="N91" s="31">
        <f t="shared" si="11"/>
        <v>675.98050000000001</v>
      </c>
      <c r="O91" s="34">
        <v>13</v>
      </c>
      <c r="P91" s="35">
        <v>135.1961</v>
      </c>
      <c r="Q91" s="36">
        <v>1757.5492999999999</v>
      </c>
      <c r="R91" s="37">
        <f t="shared" si="12"/>
        <v>1757.5493000000001</v>
      </c>
    </row>
    <row r="92" spans="1:18" s="1" customFormat="1" ht="15" x14ac:dyDescent="0.25">
      <c r="A92" s="27" t="s">
        <v>25</v>
      </c>
      <c r="B92" s="28" t="s">
        <v>45</v>
      </c>
      <c r="C92" s="29" t="s">
        <v>126</v>
      </c>
      <c r="D92" s="30">
        <v>825</v>
      </c>
      <c r="E92" s="38">
        <f t="shared" si="13"/>
        <v>825</v>
      </c>
      <c r="F92" s="32">
        <f>5*P92</f>
        <v>825</v>
      </c>
      <c r="G92" s="32">
        <f t="shared" si="9"/>
        <v>825</v>
      </c>
      <c r="H92" s="33">
        <f t="shared" si="10"/>
        <v>0</v>
      </c>
      <c r="I92" t="s">
        <v>126</v>
      </c>
      <c r="J92" t="s">
        <v>127</v>
      </c>
      <c r="K92">
        <v>5</v>
      </c>
      <c r="L92" s="31">
        <f t="shared" si="8"/>
        <v>825</v>
      </c>
      <c r="M92">
        <v>0</v>
      </c>
      <c r="N92" s="31">
        <f t="shared" si="11"/>
        <v>0</v>
      </c>
      <c r="O92" s="34">
        <v>5</v>
      </c>
      <c r="P92" s="35">
        <v>165</v>
      </c>
      <c r="Q92" s="36">
        <v>825</v>
      </c>
      <c r="R92" s="37">
        <f t="shared" si="12"/>
        <v>825</v>
      </c>
    </row>
    <row r="93" spans="1:18" s="1" customFormat="1" ht="15" x14ac:dyDescent="0.25">
      <c r="A93" s="27" t="s">
        <v>25</v>
      </c>
      <c r="B93" s="28" t="s">
        <v>45</v>
      </c>
      <c r="C93" s="29" t="s">
        <v>128</v>
      </c>
      <c r="D93" s="30">
        <v>2600</v>
      </c>
      <c r="E93" s="38">
        <f t="shared" si="13"/>
        <v>2600</v>
      </c>
      <c r="F93" s="32">
        <f>5*P93</f>
        <v>2600</v>
      </c>
      <c r="G93" s="32">
        <f t="shared" si="9"/>
        <v>2600</v>
      </c>
      <c r="H93" s="33">
        <f t="shared" si="10"/>
        <v>0</v>
      </c>
      <c r="I93" t="s">
        <v>128</v>
      </c>
      <c r="J93" t="s">
        <v>127</v>
      </c>
      <c r="K93">
        <v>5</v>
      </c>
      <c r="L93" s="31">
        <f t="shared" si="8"/>
        <v>2600</v>
      </c>
      <c r="M93">
        <v>0</v>
      </c>
      <c r="N93" s="31">
        <f t="shared" si="11"/>
        <v>0</v>
      </c>
      <c r="O93" s="34">
        <v>5</v>
      </c>
      <c r="P93" s="35">
        <v>520</v>
      </c>
      <c r="Q93" s="36">
        <v>2600</v>
      </c>
      <c r="R93" s="37">
        <f t="shared" si="12"/>
        <v>2600</v>
      </c>
    </row>
    <row r="94" spans="1:18" s="1" customFormat="1" ht="15" x14ac:dyDescent="0.25">
      <c r="A94" s="27" t="s">
        <v>25</v>
      </c>
      <c r="B94" s="28" t="s">
        <v>45</v>
      </c>
      <c r="C94" s="29" t="s">
        <v>129</v>
      </c>
      <c r="D94" s="30">
        <v>1675</v>
      </c>
      <c r="E94" s="38">
        <f t="shared" si="13"/>
        <v>1675</v>
      </c>
      <c r="F94" s="32">
        <f>5*P94</f>
        <v>1675</v>
      </c>
      <c r="G94" s="32">
        <f t="shared" si="9"/>
        <v>1675</v>
      </c>
      <c r="H94" s="33">
        <f t="shared" si="10"/>
        <v>0</v>
      </c>
      <c r="I94" t="s">
        <v>129</v>
      </c>
      <c r="J94" t="s">
        <v>127</v>
      </c>
      <c r="K94">
        <v>5</v>
      </c>
      <c r="L94" s="31">
        <f t="shared" si="8"/>
        <v>1675</v>
      </c>
      <c r="M94">
        <v>0</v>
      </c>
      <c r="N94" s="31">
        <f t="shared" si="11"/>
        <v>0</v>
      </c>
      <c r="O94" s="34">
        <v>5</v>
      </c>
      <c r="P94" s="35">
        <v>335</v>
      </c>
      <c r="Q94" s="36">
        <v>1675</v>
      </c>
      <c r="R94" s="37">
        <f t="shared" si="12"/>
        <v>1675</v>
      </c>
    </row>
    <row r="95" spans="1:18" s="1" customFormat="1" ht="15" x14ac:dyDescent="0.25">
      <c r="A95" s="27" t="s">
        <v>25</v>
      </c>
      <c r="B95" s="28" t="s">
        <v>45</v>
      </c>
      <c r="C95" s="29" t="s">
        <v>130</v>
      </c>
      <c r="D95" s="30">
        <v>1500</v>
      </c>
      <c r="E95" s="38">
        <f t="shared" si="13"/>
        <v>1500</v>
      </c>
      <c r="F95" s="32">
        <f>5*P95</f>
        <v>1500</v>
      </c>
      <c r="G95" s="32">
        <f t="shared" si="9"/>
        <v>1500</v>
      </c>
      <c r="H95" s="33">
        <f t="shared" si="10"/>
        <v>0</v>
      </c>
      <c r="I95" t="s">
        <v>130</v>
      </c>
      <c r="J95" t="s">
        <v>127</v>
      </c>
      <c r="K95">
        <v>5</v>
      </c>
      <c r="L95" s="31">
        <f t="shared" si="8"/>
        <v>1500</v>
      </c>
      <c r="M95">
        <v>0</v>
      </c>
      <c r="N95" s="31">
        <f t="shared" si="11"/>
        <v>0</v>
      </c>
      <c r="O95" s="34">
        <v>5</v>
      </c>
      <c r="P95" s="35">
        <v>300</v>
      </c>
      <c r="Q95" s="36">
        <v>1500</v>
      </c>
      <c r="R95" s="37">
        <f t="shared" si="12"/>
        <v>1500</v>
      </c>
    </row>
    <row r="96" spans="1:18" s="1" customFormat="1" ht="15" x14ac:dyDescent="0.25">
      <c r="A96" s="27" t="s">
        <v>25</v>
      </c>
      <c r="B96" s="28" t="s">
        <v>45</v>
      </c>
      <c r="C96" s="29" t="s">
        <v>131</v>
      </c>
      <c r="D96" s="30">
        <v>1416</v>
      </c>
      <c r="E96" s="38">
        <f t="shared" si="13"/>
        <v>1416</v>
      </c>
      <c r="F96" s="32">
        <f>4*P96</f>
        <v>1416</v>
      </c>
      <c r="G96" s="32">
        <f t="shared" si="9"/>
        <v>1416</v>
      </c>
      <c r="H96" s="33">
        <f t="shared" si="10"/>
        <v>0</v>
      </c>
      <c r="I96" t="s">
        <v>131</v>
      </c>
      <c r="J96" t="s">
        <v>127</v>
      </c>
      <c r="K96">
        <v>4</v>
      </c>
      <c r="L96" s="31">
        <f t="shared" si="8"/>
        <v>1416</v>
      </c>
      <c r="M96">
        <v>0</v>
      </c>
      <c r="N96" s="31">
        <f t="shared" si="11"/>
        <v>0</v>
      </c>
      <c r="O96" s="34">
        <v>4</v>
      </c>
      <c r="P96" s="35">
        <v>354</v>
      </c>
      <c r="Q96" s="36">
        <v>1416</v>
      </c>
      <c r="R96" s="37">
        <f t="shared" si="12"/>
        <v>1416</v>
      </c>
    </row>
    <row r="97" spans="1:18" s="1" customFormat="1" ht="15" x14ac:dyDescent="0.25">
      <c r="A97" s="27" t="s">
        <v>25</v>
      </c>
      <c r="B97" s="28" t="s">
        <v>45</v>
      </c>
      <c r="C97" s="29" t="s">
        <v>132</v>
      </c>
      <c r="D97" s="30">
        <v>2625</v>
      </c>
      <c r="E97" s="38">
        <f t="shared" si="13"/>
        <v>2625</v>
      </c>
      <c r="F97" s="32">
        <f>5*P97</f>
        <v>2625</v>
      </c>
      <c r="G97" s="32">
        <f t="shared" si="9"/>
        <v>2625</v>
      </c>
      <c r="H97" s="33">
        <f t="shared" si="10"/>
        <v>0</v>
      </c>
      <c r="I97" t="s">
        <v>132</v>
      </c>
      <c r="J97" t="s">
        <v>127</v>
      </c>
      <c r="K97">
        <v>5</v>
      </c>
      <c r="L97" s="31">
        <f t="shared" si="8"/>
        <v>2625</v>
      </c>
      <c r="M97">
        <v>0</v>
      </c>
      <c r="N97" s="31">
        <f t="shared" si="11"/>
        <v>0</v>
      </c>
      <c r="O97" s="34">
        <v>5</v>
      </c>
      <c r="P97" s="35">
        <v>525</v>
      </c>
      <c r="Q97" s="36">
        <v>2625</v>
      </c>
      <c r="R97" s="37">
        <f t="shared" si="12"/>
        <v>2625</v>
      </c>
    </row>
    <row r="98" spans="1:18" s="1" customFormat="1" ht="15" x14ac:dyDescent="0.25">
      <c r="A98" s="27" t="s">
        <v>25</v>
      </c>
      <c r="B98" s="28" t="s">
        <v>45</v>
      </c>
      <c r="C98" s="29" t="s">
        <v>133</v>
      </c>
      <c r="D98" s="30">
        <v>1500</v>
      </c>
      <c r="E98" s="38">
        <f t="shared" si="13"/>
        <v>1500</v>
      </c>
      <c r="F98" s="32">
        <f>5*P98</f>
        <v>1500</v>
      </c>
      <c r="G98" s="32">
        <f t="shared" si="9"/>
        <v>1500</v>
      </c>
      <c r="H98" s="33">
        <f t="shared" si="10"/>
        <v>0</v>
      </c>
      <c r="I98" t="s">
        <v>133</v>
      </c>
      <c r="J98" t="s">
        <v>127</v>
      </c>
      <c r="K98">
        <v>5</v>
      </c>
      <c r="L98" s="31">
        <f t="shared" si="8"/>
        <v>1500</v>
      </c>
      <c r="M98">
        <v>0</v>
      </c>
      <c r="N98" s="31">
        <f t="shared" si="11"/>
        <v>0</v>
      </c>
      <c r="O98" s="34">
        <v>5</v>
      </c>
      <c r="P98" s="35">
        <v>300</v>
      </c>
      <c r="Q98" s="36">
        <v>1500</v>
      </c>
      <c r="R98" s="37">
        <f t="shared" si="12"/>
        <v>1500</v>
      </c>
    </row>
    <row r="99" spans="1:18" s="1" customFormat="1" ht="15" x14ac:dyDescent="0.25">
      <c r="A99" s="27" t="s">
        <v>25</v>
      </c>
      <c r="B99" s="28" t="s">
        <v>45</v>
      </c>
      <c r="C99" s="29" t="s">
        <v>134</v>
      </c>
      <c r="D99" s="30">
        <v>1850</v>
      </c>
      <c r="E99" s="38">
        <f t="shared" si="13"/>
        <v>1850</v>
      </c>
      <c r="F99" s="32">
        <f>5*P99</f>
        <v>1850</v>
      </c>
      <c r="G99" s="32">
        <f t="shared" si="9"/>
        <v>1850</v>
      </c>
      <c r="H99" s="33">
        <f t="shared" si="10"/>
        <v>0</v>
      </c>
      <c r="I99" t="s">
        <v>134</v>
      </c>
      <c r="J99" t="s">
        <v>127</v>
      </c>
      <c r="K99">
        <v>5</v>
      </c>
      <c r="L99" s="31">
        <f t="shared" si="8"/>
        <v>1850</v>
      </c>
      <c r="M99">
        <v>0</v>
      </c>
      <c r="N99" s="31">
        <f t="shared" si="11"/>
        <v>0</v>
      </c>
      <c r="O99" s="34">
        <v>5</v>
      </c>
      <c r="P99" s="35">
        <v>370</v>
      </c>
      <c r="Q99" s="36">
        <v>1850</v>
      </c>
      <c r="R99" s="37">
        <f t="shared" si="12"/>
        <v>1850</v>
      </c>
    </row>
    <row r="100" spans="1:18" s="1" customFormat="1" ht="15" x14ac:dyDescent="0.25">
      <c r="A100" s="27" t="s">
        <v>25</v>
      </c>
      <c r="B100" s="28" t="s">
        <v>45</v>
      </c>
      <c r="C100" s="29" t="s">
        <v>135</v>
      </c>
      <c r="D100" s="30">
        <v>4130</v>
      </c>
      <c r="E100" s="38">
        <f t="shared" si="13"/>
        <v>4130</v>
      </c>
      <c r="F100" s="32">
        <f>5*P100</f>
        <v>4130</v>
      </c>
      <c r="G100" s="32">
        <f t="shared" si="9"/>
        <v>4130</v>
      </c>
      <c r="H100" s="33">
        <f t="shared" si="10"/>
        <v>0</v>
      </c>
      <c r="I100" t="s">
        <v>135</v>
      </c>
      <c r="J100" t="s">
        <v>127</v>
      </c>
      <c r="K100">
        <v>5</v>
      </c>
      <c r="L100" s="31">
        <f t="shared" si="8"/>
        <v>4130</v>
      </c>
      <c r="M100">
        <v>0</v>
      </c>
      <c r="N100" s="31">
        <f t="shared" si="11"/>
        <v>0</v>
      </c>
      <c r="O100" s="34">
        <v>5</v>
      </c>
      <c r="P100" s="35">
        <v>826</v>
      </c>
      <c r="Q100" s="36">
        <v>4130</v>
      </c>
      <c r="R100" s="37">
        <f t="shared" si="12"/>
        <v>4130</v>
      </c>
    </row>
    <row r="101" spans="1:18" s="1" customFormat="1" ht="15" x14ac:dyDescent="0.25">
      <c r="A101" s="27" t="s">
        <v>25</v>
      </c>
      <c r="B101" s="28" t="s">
        <v>45</v>
      </c>
      <c r="C101" s="29" t="s">
        <v>136</v>
      </c>
      <c r="D101" s="30">
        <v>4074</v>
      </c>
      <c r="E101" s="38">
        <f t="shared" si="13"/>
        <v>4074</v>
      </c>
      <c r="F101" s="32">
        <f>6*P101</f>
        <v>4074</v>
      </c>
      <c r="G101" s="32">
        <f t="shared" si="9"/>
        <v>4074</v>
      </c>
      <c r="H101" s="33">
        <f t="shared" si="10"/>
        <v>0</v>
      </c>
      <c r="I101" t="s">
        <v>136</v>
      </c>
      <c r="J101" t="s">
        <v>127</v>
      </c>
      <c r="K101">
        <v>6</v>
      </c>
      <c r="L101" s="31">
        <f t="shared" si="8"/>
        <v>4074</v>
      </c>
      <c r="M101">
        <v>0</v>
      </c>
      <c r="N101" s="31">
        <f t="shared" si="11"/>
        <v>0</v>
      </c>
      <c r="O101" s="34">
        <v>6</v>
      </c>
      <c r="P101" s="35">
        <v>679</v>
      </c>
      <c r="Q101" s="36">
        <v>4074</v>
      </c>
      <c r="R101" s="37">
        <f t="shared" si="12"/>
        <v>4074</v>
      </c>
    </row>
    <row r="102" spans="1:18" s="1" customFormat="1" ht="15" x14ac:dyDescent="0.25">
      <c r="A102" s="27" t="s">
        <v>25</v>
      </c>
      <c r="B102" s="28" t="s">
        <v>45</v>
      </c>
      <c r="C102" s="29" t="s">
        <v>137</v>
      </c>
      <c r="D102" s="30">
        <v>2625</v>
      </c>
      <c r="E102" s="38">
        <f t="shared" si="13"/>
        <v>2625</v>
      </c>
      <c r="F102" s="32">
        <f>5*P102</f>
        <v>2625</v>
      </c>
      <c r="G102" s="32">
        <f t="shared" si="9"/>
        <v>2625</v>
      </c>
      <c r="H102" s="33">
        <f t="shared" si="10"/>
        <v>0</v>
      </c>
      <c r="I102" t="s">
        <v>137</v>
      </c>
      <c r="J102" t="s">
        <v>127</v>
      </c>
      <c r="K102">
        <v>5</v>
      </c>
      <c r="L102" s="31">
        <f t="shared" si="8"/>
        <v>2625</v>
      </c>
      <c r="M102">
        <v>0</v>
      </c>
      <c r="N102" s="31">
        <f t="shared" si="11"/>
        <v>0</v>
      </c>
      <c r="O102" s="34">
        <v>5</v>
      </c>
      <c r="P102" s="35">
        <v>525</v>
      </c>
      <c r="Q102" s="36">
        <v>2625</v>
      </c>
      <c r="R102" s="37">
        <f t="shared" si="12"/>
        <v>2625</v>
      </c>
    </row>
    <row r="103" spans="1:18" s="1" customFormat="1" ht="15" x14ac:dyDescent="0.25">
      <c r="A103" s="27" t="s">
        <v>25</v>
      </c>
      <c r="B103" s="28" t="s">
        <v>45</v>
      </c>
      <c r="C103" s="29" t="s">
        <v>138</v>
      </c>
      <c r="D103" s="30">
        <v>2200</v>
      </c>
      <c r="E103" s="38">
        <f t="shared" si="13"/>
        <v>2200</v>
      </c>
      <c r="F103" s="32">
        <f>5*P103</f>
        <v>2200</v>
      </c>
      <c r="G103" s="32">
        <f t="shared" si="9"/>
        <v>2200</v>
      </c>
      <c r="H103" s="33">
        <f t="shared" si="10"/>
        <v>0</v>
      </c>
      <c r="I103" t="s">
        <v>138</v>
      </c>
      <c r="J103" t="s">
        <v>127</v>
      </c>
      <c r="K103">
        <v>5</v>
      </c>
      <c r="L103" s="31">
        <f t="shared" si="8"/>
        <v>2200</v>
      </c>
      <c r="M103">
        <v>0</v>
      </c>
      <c r="N103" s="31">
        <f t="shared" si="11"/>
        <v>0</v>
      </c>
      <c r="O103" s="34">
        <v>5</v>
      </c>
      <c r="P103" s="35">
        <v>440</v>
      </c>
      <c r="Q103" s="36">
        <v>2200</v>
      </c>
      <c r="R103" s="37">
        <f t="shared" si="12"/>
        <v>2200</v>
      </c>
    </row>
    <row r="104" spans="1:18" s="1" customFormat="1" ht="15" x14ac:dyDescent="0.25">
      <c r="A104" s="27" t="s">
        <v>25</v>
      </c>
      <c r="B104" s="28" t="s">
        <v>45</v>
      </c>
      <c r="C104" s="29" t="s">
        <v>139</v>
      </c>
      <c r="D104" s="30">
        <v>2360</v>
      </c>
      <c r="E104" s="38">
        <f t="shared" si="13"/>
        <v>2360</v>
      </c>
      <c r="F104" s="32">
        <f>5*P104</f>
        <v>2360</v>
      </c>
      <c r="G104" s="32">
        <f t="shared" si="9"/>
        <v>2360</v>
      </c>
      <c r="H104" s="33">
        <f t="shared" si="10"/>
        <v>0</v>
      </c>
      <c r="I104" t="s">
        <v>139</v>
      </c>
      <c r="J104" t="s">
        <v>127</v>
      </c>
      <c r="K104">
        <v>5</v>
      </c>
      <c r="L104" s="31">
        <f t="shared" si="8"/>
        <v>2360</v>
      </c>
      <c r="M104">
        <v>0</v>
      </c>
      <c r="N104" s="31">
        <f t="shared" si="11"/>
        <v>0</v>
      </c>
      <c r="O104" s="34">
        <v>5</v>
      </c>
      <c r="P104" s="35">
        <v>472</v>
      </c>
      <c r="Q104" s="36">
        <v>2360</v>
      </c>
      <c r="R104" s="37">
        <f t="shared" si="12"/>
        <v>2360</v>
      </c>
    </row>
    <row r="105" spans="1:18" s="1" customFormat="1" ht="15" x14ac:dyDescent="0.25">
      <c r="A105" s="27" t="s">
        <v>25</v>
      </c>
      <c r="B105" s="28" t="s">
        <v>45</v>
      </c>
      <c r="C105" s="29" t="s">
        <v>140</v>
      </c>
      <c r="D105" s="30">
        <v>1625</v>
      </c>
      <c r="E105" s="38">
        <f t="shared" si="13"/>
        <v>1984.9601999999998</v>
      </c>
      <c r="F105" s="32">
        <f>5.91193*P105</f>
        <v>1955.8242925309996</v>
      </c>
      <c r="G105" s="32">
        <f t="shared" si="9"/>
        <v>1654.1359074689999</v>
      </c>
      <c r="H105" s="33">
        <f t="shared" si="10"/>
        <v>2.4074689997632959E-3</v>
      </c>
      <c r="I105" t="s">
        <v>140</v>
      </c>
      <c r="J105" t="s">
        <v>127</v>
      </c>
      <c r="K105">
        <v>6</v>
      </c>
      <c r="L105" s="31">
        <f t="shared" si="8"/>
        <v>1984.9601999999998</v>
      </c>
      <c r="M105">
        <v>1</v>
      </c>
      <c r="N105" s="31">
        <f t="shared" si="11"/>
        <v>330.82669999999996</v>
      </c>
      <c r="O105" s="34">
        <v>5</v>
      </c>
      <c r="P105" s="35">
        <v>330.82669999999996</v>
      </c>
      <c r="Q105" s="36">
        <v>1654.1335000000001</v>
      </c>
      <c r="R105" s="37">
        <f t="shared" si="12"/>
        <v>1654.1334999999999</v>
      </c>
    </row>
    <row r="106" spans="1:18" s="1" customFormat="1" ht="15" x14ac:dyDescent="0.25">
      <c r="A106" s="27" t="s">
        <v>25</v>
      </c>
      <c r="B106" s="28" t="s">
        <v>45</v>
      </c>
      <c r="C106" s="29" t="s">
        <v>141</v>
      </c>
      <c r="D106" s="30">
        <v>3686</v>
      </c>
      <c r="E106" s="38">
        <f t="shared" si="13"/>
        <v>3686</v>
      </c>
      <c r="F106" s="32">
        <f>5*P106</f>
        <v>3686</v>
      </c>
      <c r="G106" s="32">
        <f t="shared" si="9"/>
        <v>3686</v>
      </c>
      <c r="H106" s="33">
        <f t="shared" si="10"/>
        <v>0</v>
      </c>
      <c r="I106" t="s">
        <v>141</v>
      </c>
      <c r="J106" t="s">
        <v>127</v>
      </c>
      <c r="K106">
        <v>5</v>
      </c>
      <c r="L106" s="31">
        <f t="shared" si="8"/>
        <v>3686</v>
      </c>
      <c r="M106">
        <v>0</v>
      </c>
      <c r="N106" s="31">
        <f t="shared" si="11"/>
        <v>0</v>
      </c>
      <c r="O106" s="34">
        <v>5</v>
      </c>
      <c r="P106" s="35">
        <v>737.2</v>
      </c>
      <c r="Q106" s="36">
        <v>3686</v>
      </c>
      <c r="R106" s="37">
        <f t="shared" si="12"/>
        <v>3686</v>
      </c>
    </row>
    <row r="107" spans="1:18" s="1" customFormat="1" ht="15" x14ac:dyDescent="0.25">
      <c r="A107" s="27" t="s">
        <v>25</v>
      </c>
      <c r="B107" s="28" t="s">
        <v>29</v>
      </c>
      <c r="C107" s="29" t="s">
        <v>142</v>
      </c>
      <c r="D107" s="30">
        <v>778.05369999999994</v>
      </c>
      <c r="E107" s="38">
        <f t="shared" si="13"/>
        <v>777.97979999999995</v>
      </c>
      <c r="F107" s="32">
        <f>68.0035*P107</f>
        <v>1356.5474187</v>
      </c>
      <c r="G107" s="32">
        <f t="shared" si="9"/>
        <v>199.48608130000002</v>
      </c>
      <c r="H107" s="33">
        <f t="shared" si="10"/>
        <v>4.0813000000241573E-3</v>
      </c>
      <c r="I107" t="s">
        <v>142</v>
      </c>
      <c r="J107" t="s">
        <v>28</v>
      </c>
      <c r="K107">
        <v>39</v>
      </c>
      <c r="L107" s="31">
        <f t="shared" si="8"/>
        <v>777.97979999999995</v>
      </c>
      <c r="M107">
        <v>29</v>
      </c>
      <c r="N107" s="31">
        <f t="shared" si="11"/>
        <v>578.49779999999998</v>
      </c>
      <c r="O107" s="34">
        <v>10</v>
      </c>
      <c r="P107" s="35">
        <v>19.9482</v>
      </c>
      <c r="Q107" s="36">
        <v>199.482</v>
      </c>
      <c r="R107" s="37">
        <f t="shared" si="12"/>
        <v>199.48199999999997</v>
      </c>
    </row>
    <row r="108" spans="1:18" s="1" customFormat="1" ht="15" x14ac:dyDescent="0.25">
      <c r="A108" s="27" t="s">
        <v>25</v>
      </c>
      <c r="B108" s="28" t="s">
        <v>45</v>
      </c>
      <c r="C108" s="29" t="s">
        <v>143</v>
      </c>
      <c r="D108" s="30">
        <v>467.9997999999996</v>
      </c>
      <c r="E108" s="38">
        <f t="shared" si="13"/>
        <v>467.94400000000002</v>
      </c>
      <c r="F108" s="32">
        <f>21.0023*P108</f>
        <v>491.39501356000005</v>
      </c>
      <c r="G108" s="32">
        <f t="shared" si="9"/>
        <v>444.5487864399995</v>
      </c>
      <c r="H108" s="33">
        <f t="shared" si="10"/>
        <v>1.9864399994276027E-3</v>
      </c>
      <c r="I108" t="s">
        <v>143</v>
      </c>
      <c r="J108" t="s">
        <v>28</v>
      </c>
      <c r="K108">
        <v>20</v>
      </c>
      <c r="L108" s="31">
        <f t="shared" si="8"/>
        <v>467.94400000000002</v>
      </c>
      <c r="M108">
        <v>1</v>
      </c>
      <c r="N108" s="31">
        <f t="shared" si="11"/>
        <v>23.397200000000002</v>
      </c>
      <c r="O108" s="34">
        <v>19</v>
      </c>
      <c r="P108" s="35">
        <v>23.397200000000002</v>
      </c>
      <c r="Q108" s="36">
        <v>444.54680000000008</v>
      </c>
      <c r="R108" s="37">
        <f t="shared" si="12"/>
        <v>444.54680000000002</v>
      </c>
    </row>
    <row r="109" spans="1:18" s="1" customFormat="1" ht="15" x14ac:dyDescent="0.25">
      <c r="A109" s="27" t="s">
        <v>25</v>
      </c>
      <c r="B109" s="28" t="s">
        <v>45</v>
      </c>
      <c r="C109" s="29" t="s">
        <v>144</v>
      </c>
      <c r="D109" s="30">
        <v>3127.6513000000004</v>
      </c>
      <c r="E109" s="38">
        <f t="shared" si="13"/>
        <v>3128.2009999999991</v>
      </c>
      <c r="F109" s="32">
        <f>144.9745*P109</f>
        <v>3127.6508680999996</v>
      </c>
      <c r="G109" s="32">
        <f t="shared" si="9"/>
        <v>3128.2014319</v>
      </c>
      <c r="H109" s="33">
        <f t="shared" si="10"/>
        <v>4.3190000042159227E-4</v>
      </c>
      <c r="I109" t="s">
        <v>144</v>
      </c>
      <c r="J109" t="s">
        <v>28</v>
      </c>
      <c r="K109">
        <v>145</v>
      </c>
      <c r="L109" s="31">
        <f t="shared" si="8"/>
        <v>3128.2009999999991</v>
      </c>
      <c r="M109">
        <v>0</v>
      </c>
      <c r="N109" s="31">
        <f t="shared" si="11"/>
        <v>0</v>
      </c>
      <c r="O109" s="34">
        <v>145</v>
      </c>
      <c r="P109" s="35">
        <v>21.573799999999995</v>
      </c>
      <c r="Q109" s="36">
        <v>3128.2009999999996</v>
      </c>
      <c r="R109" s="37">
        <f t="shared" si="12"/>
        <v>3128.2009999999991</v>
      </c>
    </row>
    <row r="110" spans="1:18" s="1" customFormat="1" ht="15" x14ac:dyDescent="0.25">
      <c r="A110" s="27" t="s">
        <v>25</v>
      </c>
      <c r="B110" s="28" t="s">
        <v>45</v>
      </c>
      <c r="C110" s="29" t="s">
        <v>145</v>
      </c>
      <c r="D110" s="30">
        <v>352.60080000000005</v>
      </c>
      <c r="E110" s="38">
        <f t="shared" si="13"/>
        <v>352.54399999999998</v>
      </c>
      <c r="F110" s="32">
        <f>35.003*P110</f>
        <v>617.00488159999998</v>
      </c>
      <c r="G110" s="32">
        <f t="shared" si="9"/>
        <v>88.139918400000056</v>
      </c>
      <c r="H110" s="33">
        <f t="shared" si="10"/>
        <v>3.9184000000744845E-3</v>
      </c>
      <c r="I110" t="s">
        <v>145</v>
      </c>
      <c r="J110" t="s">
        <v>28</v>
      </c>
      <c r="K110">
        <v>20</v>
      </c>
      <c r="L110" s="31">
        <f t="shared" si="8"/>
        <v>352.54399999999998</v>
      </c>
      <c r="M110">
        <v>15</v>
      </c>
      <c r="N110" s="31">
        <f t="shared" si="11"/>
        <v>264.40799999999996</v>
      </c>
      <c r="O110" s="34">
        <v>5</v>
      </c>
      <c r="P110" s="35">
        <v>17.627199999999998</v>
      </c>
      <c r="Q110" s="36">
        <v>88.135999999999981</v>
      </c>
      <c r="R110" s="37">
        <f t="shared" si="12"/>
        <v>88.136000000000024</v>
      </c>
    </row>
    <row r="111" spans="1:18" s="1" customFormat="1" ht="15" x14ac:dyDescent="0.25">
      <c r="A111" s="27" t="s">
        <v>25</v>
      </c>
      <c r="B111" s="28" t="s">
        <v>47</v>
      </c>
      <c r="C111" s="29" t="s">
        <v>146</v>
      </c>
      <c r="D111" s="30">
        <v>15849.947999999989</v>
      </c>
      <c r="E111" s="38">
        <f t="shared" si="13"/>
        <v>15849.7035</v>
      </c>
      <c r="F111" s="32">
        <f>145.0022*P111</f>
        <v>15849.943978259998</v>
      </c>
      <c r="G111" s="32">
        <f t="shared" si="9"/>
        <v>15849.707521739991</v>
      </c>
      <c r="H111" s="33">
        <f t="shared" si="10"/>
        <v>4.0217399891844252E-3</v>
      </c>
      <c r="I111" t="s">
        <v>146</v>
      </c>
      <c r="J111" t="s">
        <v>105</v>
      </c>
      <c r="K111">
        <v>145</v>
      </c>
      <c r="L111" s="31">
        <f t="shared" si="8"/>
        <v>15849.7035</v>
      </c>
      <c r="M111">
        <v>0</v>
      </c>
      <c r="N111" s="31">
        <f t="shared" si="11"/>
        <v>0</v>
      </c>
      <c r="O111" s="34">
        <v>145</v>
      </c>
      <c r="P111" s="35">
        <v>109.3083</v>
      </c>
      <c r="Q111" s="36">
        <v>15849.703500000001</v>
      </c>
      <c r="R111" s="37">
        <f t="shared" si="12"/>
        <v>15849.7035</v>
      </c>
    </row>
    <row r="112" spans="1:18" s="1" customFormat="1" ht="15" x14ac:dyDescent="0.25">
      <c r="A112" s="27" t="s">
        <v>25</v>
      </c>
      <c r="B112" s="28" t="s">
        <v>47</v>
      </c>
      <c r="C112" s="29" t="s">
        <v>147</v>
      </c>
      <c r="D112" s="30">
        <v>4476.7206000000006</v>
      </c>
      <c r="E112" s="38">
        <f t="shared" si="13"/>
        <v>4476.6486999999997</v>
      </c>
      <c r="F112" s="32">
        <f>23.00035*P112</f>
        <v>4476.7168229150002</v>
      </c>
      <c r="G112" s="32">
        <f t="shared" si="9"/>
        <v>4476.6524770850001</v>
      </c>
      <c r="H112" s="33">
        <f t="shared" si="10"/>
        <v>3.7770850003653322E-3</v>
      </c>
      <c r="I112" t="s">
        <v>147</v>
      </c>
      <c r="J112" t="s">
        <v>28</v>
      </c>
      <c r="K112">
        <v>23</v>
      </c>
      <c r="L112" s="31">
        <f t="shared" si="8"/>
        <v>4476.6486999999997</v>
      </c>
      <c r="M112">
        <v>0</v>
      </c>
      <c r="N112" s="31">
        <f t="shared" si="11"/>
        <v>0</v>
      </c>
      <c r="O112" s="34">
        <v>23</v>
      </c>
      <c r="P112" s="35">
        <v>194.6369</v>
      </c>
      <c r="Q112" s="36">
        <v>4476.6486999999997</v>
      </c>
      <c r="R112" s="37">
        <f t="shared" si="12"/>
        <v>4476.6486999999997</v>
      </c>
    </row>
    <row r="113" spans="1:18" s="1" customFormat="1" ht="15" x14ac:dyDescent="0.25">
      <c r="A113" s="27" t="s">
        <v>25</v>
      </c>
      <c r="B113" s="28" t="s">
        <v>47</v>
      </c>
      <c r="C113" s="29" t="s">
        <v>148</v>
      </c>
      <c r="D113" s="30">
        <v>2427.2034000000003</v>
      </c>
      <c r="E113" s="38">
        <f t="shared" si="13"/>
        <v>2427.2330000000002</v>
      </c>
      <c r="F113" s="32">
        <f>19.99987*P113</f>
        <v>4854.4344459710001</v>
      </c>
      <c r="G113" s="32">
        <f t="shared" si="9"/>
        <v>1.9540290004442795E-3</v>
      </c>
      <c r="H113" s="33">
        <f t="shared" si="10"/>
        <v>1.9540290004442795E-3</v>
      </c>
      <c r="I113" t="s">
        <v>148</v>
      </c>
      <c r="J113" t="s">
        <v>44</v>
      </c>
      <c r="K113">
        <v>10</v>
      </c>
      <c r="L113" s="31">
        <f t="shared" si="8"/>
        <v>2427.2330000000002</v>
      </c>
      <c r="M113">
        <v>10</v>
      </c>
      <c r="N113" s="31">
        <f t="shared" si="11"/>
        <v>2427.2330000000002</v>
      </c>
      <c r="O113" s="34">
        <v>0</v>
      </c>
      <c r="P113" s="35">
        <v>242.72329999999999</v>
      </c>
      <c r="Q113" s="36">
        <v>0</v>
      </c>
      <c r="R113" s="37">
        <f t="shared" si="12"/>
        <v>0</v>
      </c>
    </row>
    <row r="114" spans="1:18" s="1" customFormat="1" ht="15" x14ac:dyDescent="0.25">
      <c r="A114" s="27" t="s">
        <v>25</v>
      </c>
      <c r="B114" s="28" t="s">
        <v>47</v>
      </c>
      <c r="C114" s="29" t="s">
        <v>149</v>
      </c>
      <c r="D114" s="30">
        <v>4332.1502999999975</v>
      </c>
      <c r="E114" s="38">
        <f t="shared" si="13"/>
        <v>7079.1798999999992</v>
      </c>
      <c r="F114" s="32">
        <f>8.95543*P114</f>
        <v>4876.700003988999</v>
      </c>
      <c r="G114" s="32">
        <f t="shared" si="9"/>
        <v>6534.6301960109977</v>
      </c>
      <c r="H114" s="33">
        <f t="shared" si="10"/>
        <v>2.5960109987863689E-3</v>
      </c>
      <c r="I114" t="s">
        <v>149</v>
      </c>
      <c r="J114" t="s">
        <v>44</v>
      </c>
      <c r="K114">
        <v>13</v>
      </c>
      <c r="L114" s="31">
        <f t="shared" si="8"/>
        <v>7079.1798999999992</v>
      </c>
      <c r="M114">
        <v>1</v>
      </c>
      <c r="N114" s="31">
        <f t="shared" si="11"/>
        <v>544.55229999999995</v>
      </c>
      <c r="O114" s="34">
        <v>12</v>
      </c>
      <c r="P114" s="35">
        <v>544.55229999999995</v>
      </c>
      <c r="Q114" s="36">
        <v>6534.6275999999989</v>
      </c>
      <c r="R114" s="37">
        <f t="shared" si="12"/>
        <v>6534.6275999999989</v>
      </c>
    </row>
    <row r="115" spans="1:18" s="1" customFormat="1" ht="15" x14ac:dyDescent="0.25">
      <c r="A115" s="27" t="s">
        <v>25</v>
      </c>
      <c r="B115" s="28" t="s">
        <v>47</v>
      </c>
      <c r="C115" s="29" t="s">
        <v>150</v>
      </c>
      <c r="D115" s="30">
        <v>33338.363700000002</v>
      </c>
      <c r="E115" s="38">
        <f t="shared" si="13"/>
        <v>33338.474399999999</v>
      </c>
      <c r="F115" s="32">
        <f>28.99993*P115</f>
        <v>43946.064723035997</v>
      </c>
      <c r="G115" s="32">
        <f t="shared" si="9"/>
        <v>22730.773376963996</v>
      </c>
      <c r="H115" s="33">
        <f t="shared" si="10"/>
        <v>-4.6230360021581873E-3</v>
      </c>
      <c r="I115" t="s">
        <v>150</v>
      </c>
      <c r="J115" t="s">
        <v>44</v>
      </c>
      <c r="K115">
        <v>22</v>
      </c>
      <c r="L115" s="31">
        <f t="shared" si="8"/>
        <v>33338.474399999999</v>
      </c>
      <c r="M115">
        <v>7</v>
      </c>
      <c r="N115" s="31">
        <f t="shared" si="11"/>
        <v>10607.696399999999</v>
      </c>
      <c r="O115" s="34">
        <v>15</v>
      </c>
      <c r="P115" s="35">
        <v>1515.3851999999999</v>
      </c>
      <c r="Q115" s="36">
        <v>22730.777999999998</v>
      </c>
      <c r="R115" s="37">
        <f t="shared" si="12"/>
        <v>22730.777999999998</v>
      </c>
    </row>
    <row r="116" spans="1:18" s="1" customFormat="1" ht="15" x14ac:dyDescent="0.25">
      <c r="A116" s="27" t="s">
        <v>25</v>
      </c>
      <c r="B116" s="28" t="s">
        <v>29</v>
      </c>
      <c r="C116" s="29" t="s">
        <v>151</v>
      </c>
      <c r="D116" s="30">
        <v>948.29000000000087</v>
      </c>
      <c r="E116" s="38">
        <f t="shared" si="13"/>
        <v>1355.3308000000002</v>
      </c>
      <c r="F116" s="32">
        <f>37.5875*P116</f>
        <v>1340.6183275000001</v>
      </c>
      <c r="G116" s="32">
        <f t="shared" si="9"/>
        <v>963.00247250000098</v>
      </c>
      <c r="H116" s="33">
        <f t="shared" si="10"/>
        <v>4.2725000008658753E-3</v>
      </c>
      <c r="I116" t="s">
        <v>151</v>
      </c>
      <c r="J116" t="s">
        <v>152</v>
      </c>
      <c r="K116">
        <v>38</v>
      </c>
      <c r="L116" s="31">
        <f t="shared" si="8"/>
        <v>1355.3308000000002</v>
      </c>
      <c r="M116">
        <v>11</v>
      </c>
      <c r="N116" s="31">
        <f t="shared" si="11"/>
        <v>392.33260000000001</v>
      </c>
      <c r="O116" s="34">
        <v>27</v>
      </c>
      <c r="P116" s="35">
        <v>35.666600000000003</v>
      </c>
      <c r="Q116" s="36">
        <v>962.99820000000011</v>
      </c>
      <c r="R116" s="37">
        <f t="shared" si="12"/>
        <v>962.99820000000022</v>
      </c>
    </row>
    <row r="117" spans="1:18" s="1" customFormat="1" ht="15" x14ac:dyDescent="0.25">
      <c r="A117" s="27" t="s">
        <v>25</v>
      </c>
      <c r="B117" s="28" t="s">
        <v>29</v>
      </c>
      <c r="C117" s="29" t="s">
        <v>153</v>
      </c>
      <c r="D117" s="30">
        <v>0</v>
      </c>
      <c r="E117" s="38">
        <f t="shared" si="13"/>
        <v>4436.7808000000005</v>
      </c>
      <c r="F117" s="32">
        <f>+M117*P117</f>
        <v>1941.0916000000002</v>
      </c>
      <c r="G117" s="32">
        <f t="shared" si="9"/>
        <v>2495.6892000000003</v>
      </c>
      <c r="H117" s="33">
        <f t="shared" si="10"/>
        <v>0</v>
      </c>
      <c r="I117" t="s">
        <v>153</v>
      </c>
      <c r="J117" t="s">
        <v>152</v>
      </c>
      <c r="K117">
        <v>16</v>
      </c>
      <c r="L117" s="31">
        <f t="shared" si="8"/>
        <v>4436.7808000000005</v>
      </c>
      <c r="M117">
        <v>7</v>
      </c>
      <c r="N117" s="31">
        <f t="shared" si="11"/>
        <v>1941.0916000000002</v>
      </c>
      <c r="O117" s="34">
        <v>9</v>
      </c>
      <c r="P117" s="35">
        <v>277.29880000000003</v>
      </c>
      <c r="Q117" s="36">
        <v>2495.6892000000003</v>
      </c>
      <c r="R117" s="37">
        <f t="shared" si="12"/>
        <v>2495.6892000000003</v>
      </c>
    </row>
    <row r="118" spans="1:18" s="1" customFormat="1" ht="15" x14ac:dyDescent="0.25">
      <c r="A118" s="27" t="s">
        <v>25</v>
      </c>
      <c r="B118" s="28" t="s">
        <v>29</v>
      </c>
      <c r="C118" s="29" t="s">
        <v>154</v>
      </c>
      <c r="D118" s="30">
        <v>1230.3009999999995</v>
      </c>
      <c r="E118" s="38">
        <f t="shared" si="13"/>
        <v>6215.8194000000003</v>
      </c>
      <c r="F118" s="32">
        <f>9.77102*P118</f>
        <v>4338.2068338420004</v>
      </c>
      <c r="G118" s="32">
        <f t="shared" si="9"/>
        <v>3107.9135661579994</v>
      </c>
      <c r="H118" s="33">
        <f t="shared" si="10"/>
        <v>3.8661579997096851E-3</v>
      </c>
      <c r="I118" t="s">
        <v>154</v>
      </c>
      <c r="J118" t="s">
        <v>152</v>
      </c>
      <c r="K118">
        <v>14</v>
      </c>
      <c r="L118" s="31">
        <f t="shared" si="8"/>
        <v>6215.8194000000003</v>
      </c>
      <c r="M118">
        <v>7</v>
      </c>
      <c r="N118" s="31">
        <f t="shared" si="11"/>
        <v>3107.9097000000002</v>
      </c>
      <c r="O118" s="34">
        <v>7</v>
      </c>
      <c r="P118" s="35">
        <v>443.9871</v>
      </c>
      <c r="Q118" s="36">
        <v>3107.9096999999997</v>
      </c>
      <c r="R118" s="37">
        <f t="shared" si="12"/>
        <v>3107.9097000000002</v>
      </c>
    </row>
    <row r="119" spans="1:18" s="1" customFormat="1" ht="15" x14ac:dyDescent="0.25">
      <c r="A119" s="27" t="s">
        <v>25</v>
      </c>
      <c r="B119" s="28" t="s">
        <v>26</v>
      </c>
      <c r="C119" s="29" t="s">
        <v>155</v>
      </c>
      <c r="D119" s="30">
        <v>2273.5200000000041</v>
      </c>
      <c r="E119" s="38">
        <f t="shared" si="13"/>
        <v>15646.900000000001</v>
      </c>
      <c r="F119" s="32">
        <f>5.726509*P119</f>
        <v>17920.422734420001</v>
      </c>
      <c r="G119" s="32">
        <f t="shared" si="9"/>
        <v>-2.7344199952494819E-3</v>
      </c>
      <c r="H119" s="33">
        <f t="shared" si="10"/>
        <v>-2.7344199952494819E-3</v>
      </c>
      <c r="I119" t="s">
        <v>155</v>
      </c>
      <c r="J119" t="s">
        <v>34</v>
      </c>
      <c r="K119">
        <v>5</v>
      </c>
      <c r="L119" s="31">
        <f t="shared" si="8"/>
        <v>15646.900000000001</v>
      </c>
      <c r="M119">
        <v>5</v>
      </c>
      <c r="N119" s="31">
        <f t="shared" si="11"/>
        <v>15646.900000000001</v>
      </c>
      <c r="O119" s="34">
        <v>0</v>
      </c>
      <c r="P119" s="35">
        <v>3129.38</v>
      </c>
      <c r="Q119" s="36">
        <v>0</v>
      </c>
      <c r="R119" s="37">
        <f t="shared" si="12"/>
        <v>0</v>
      </c>
    </row>
    <row r="120" spans="1:18" s="1" customFormat="1" ht="15" x14ac:dyDescent="0.25">
      <c r="A120" s="27" t="s">
        <v>25</v>
      </c>
      <c r="B120" s="28" t="s">
        <v>26</v>
      </c>
      <c r="C120" s="29" t="s">
        <v>156</v>
      </c>
      <c r="D120" s="30">
        <v>302.77999999999975</v>
      </c>
      <c r="E120" s="38">
        <f t="shared" si="13"/>
        <v>622.66999999999996</v>
      </c>
      <c r="F120" s="32">
        <f>5.94504*P120</f>
        <v>925.44951419999984</v>
      </c>
      <c r="G120" s="32">
        <f t="shared" si="9"/>
        <v>4.8579999986486655E-4</v>
      </c>
      <c r="H120" s="33">
        <f t="shared" si="10"/>
        <v>4.8579999986486655E-4</v>
      </c>
      <c r="I120" t="s">
        <v>156</v>
      </c>
      <c r="J120" t="s">
        <v>34</v>
      </c>
      <c r="K120">
        <v>4</v>
      </c>
      <c r="L120" s="31">
        <f t="shared" si="8"/>
        <v>622.66999999999996</v>
      </c>
      <c r="M120">
        <v>4</v>
      </c>
      <c r="N120" s="31">
        <f t="shared" si="11"/>
        <v>622.66999999999996</v>
      </c>
      <c r="O120" s="34">
        <v>0</v>
      </c>
      <c r="P120" s="35">
        <v>155.66749999999999</v>
      </c>
      <c r="Q120" s="36">
        <v>0</v>
      </c>
      <c r="R120" s="37">
        <f t="shared" si="12"/>
        <v>0</v>
      </c>
    </row>
    <row r="121" spans="1:18" s="1" customFormat="1" ht="15" x14ac:dyDescent="0.25">
      <c r="A121" s="27" t="s">
        <v>25</v>
      </c>
      <c r="B121" s="28" t="s">
        <v>45</v>
      </c>
      <c r="C121" s="29" t="s">
        <v>157</v>
      </c>
      <c r="D121" s="30">
        <v>662.89999999999964</v>
      </c>
      <c r="E121" s="38">
        <f t="shared" si="13"/>
        <v>1112.93</v>
      </c>
      <c r="F121" s="32">
        <f>19.9127*P121</f>
        <v>1108.0720605500001</v>
      </c>
      <c r="G121" s="32">
        <f t="shared" si="9"/>
        <v>667.75793944999964</v>
      </c>
      <c r="H121" s="33">
        <f t="shared" si="10"/>
        <v>-6.0550000398507109E-5</v>
      </c>
      <c r="I121" t="s">
        <v>157</v>
      </c>
      <c r="J121" t="s">
        <v>44</v>
      </c>
      <c r="K121">
        <v>20</v>
      </c>
      <c r="L121" s="31">
        <f t="shared" si="8"/>
        <v>1112.93</v>
      </c>
      <c r="M121">
        <v>8</v>
      </c>
      <c r="N121" s="31">
        <f t="shared" si="11"/>
        <v>445.17200000000003</v>
      </c>
      <c r="O121" s="34">
        <v>12</v>
      </c>
      <c r="P121" s="35">
        <v>55.646500000000003</v>
      </c>
      <c r="Q121" s="36">
        <v>667.75800000000004</v>
      </c>
      <c r="R121" s="37">
        <f t="shared" si="12"/>
        <v>667.75800000000004</v>
      </c>
    </row>
    <row r="122" spans="1:18" s="1" customFormat="1" ht="15" x14ac:dyDescent="0.25">
      <c r="A122" s="27" t="s">
        <v>25</v>
      </c>
      <c r="B122" s="28" t="s">
        <v>29</v>
      </c>
      <c r="C122" s="29" t="s">
        <v>158</v>
      </c>
      <c r="D122" s="30">
        <v>8942.2288000000044</v>
      </c>
      <c r="E122" s="38">
        <f t="shared" si="13"/>
        <v>8942.1837999999989</v>
      </c>
      <c r="F122" s="32">
        <f>12.00005*P122</f>
        <v>9755.1502462899989</v>
      </c>
      <c r="G122" s="32">
        <f t="shared" si="9"/>
        <v>8129.2623537100044</v>
      </c>
      <c r="H122" s="33">
        <f t="shared" si="10"/>
        <v>4.3537100036701304E-3</v>
      </c>
      <c r="I122" t="s">
        <v>158</v>
      </c>
      <c r="J122" t="s">
        <v>34</v>
      </c>
      <c r="K122">
        <v>11</v>
      </c>
      <c r="L122" s="31">
        <f t="shared" si="8"/>
        <v>8942.1837999999989</v>
      </c>
      <c r="M122">
        <v>1</v>
      </c>
      <c r="N122" s="31">
        <f t="shared" si="11"/>
        <v>812.92579999999998</v>
      </c>
      <c r="O122" s="34">
        <v>10</v>
      </c>
      <c r="P122" s="35">
        <v>812.92579999999998</v>
      </c>
      <c r="Q122" s="36">
        <v>8129.2580000000007</v>
      </c>
      <c r="R122" s="37">
        <f t="shared" si="12"/>
        <v>8129.2579999999989</v>
      </c>
    </row>
    <row r="123" spans="1:18" s="1" customFormat="1" ht="15" x14ac:dyDescent="0.25">
      <c r="A123" s="27" t="s">
        <v>25</v>
      </c>
      <c r="B123" s="28" t="s">
        <v>29</v>
      </c>
      <c r="C123" s="29" t="s">
        <v>159</v>
      </c>
      <c r="D123" s="30">
        <v>2225.6704999999997</v>
      </c>
      <c r="E123" s="38">
        <f t="shared" si="13"/>
        <v>2225.6817000000001</v>
      </c>
      <c r="F123" s="32">
        <f>2.99998*P123</f>
        <v>2225.6668621220001</v>
      </c>
      <c r="G123" s="32">
        <f t="shared" si="9"/>
        <v>2225.6853378779992</v>
      </c>
      <c r="H123" s="33">
        <f t="shared" si="10"/>
        <v>3.6378779991537158E-3</v>
      </c>
      <c r="I123" t="s">
        <v>159</v>
      </c>
      <c r="J123" t="s">
        <v>28</v>
      </c>
      <c r="K123">
        <v>3</v>
      </c>
      <c r="L123" s="31">
        <f t="shared" si="8"/>
        <v>2225.6817000000001</v>
      </c>
      <c r="M123">
        <v>0</v>
      </c>
      <c r="N123" s="31">
        <f t="shared" si="11"/>
        <v>0</v>
      </c>
      <c r="O123" s="34">
        <v>3</v>
      </c>
      <c r="P123" s="35">
        <v>741.89390000000003</v>
      </c>
      <c r="Q123" s="36">
        <v>2225.6817000000001</v>
      </c>
      <c r="R123" s="37">
        <f t="shared" si="12"/>
        <v>2225.6817000000001</v>
      </c>
    </row>
    <row r="124" spans="1:18" s="1" customFormat="1" ht="15" x14ac:dyDescent="0.25">
      <c r="A124" s="27" t="s">
        <v>25</v>
      </c>
      <c r="B124" s="28" t="s">
        <v>45</v>
      </c>
      <c r="C124" s="29" t="s">
        <v>160</v>
      </c>
      <c r="D124" s="30">
        <v>2335.5552000000007</v>
      </c>
      <c r="E124" s="38">
        <f t="shared" si="13"/>
        <v>2335.5888</v>
      </c>
      <c r="F124" s="32">
        <f>16.99982*P124</f>
        <v>3308.7157661679998</v>
      </c>
      <c r="G124" s="32">
        <f t="shared" si="9"/>
        <v>1362.4282338320004</v>
      </c>
      <c r="H124" s="33">
        <f t="shared" si="10"/>
        <v>1.4338320004299021E-3</v>
      </c>
      <c r="I124" t="s">
        <v>160</v>
      </c>
      <c r="J124" t="s">
        <v>28</v>
      </c>
      <c r="K124">
        <v>12</v>
      </c>
      <c r="L124" s="31">
        <f t="shared" si="8"/>
        <v>2335.5888</v>
      </c>
      <c r="M124">
        <v>5</v>
      </c>
      <c r="N124" s="31">
        <f t="shared" si="11"/>
        <v>973.16199999999992</v>
      </c>
      <c r="O124" s="34">
        <v>7</v>
      </c>
      <c r="P124" s="35">
        <v>194.63239999999999</v>
      </c>
      <c r="Q124" s="36">
        <v>1362.4268</v>
      </c>
      <c r="R124" s="37">
        <f t="shared" si="12"/>
        <v>1362.4268000000002</v>
      </c>
    </row>
    <row r="125" spans="1:18" s="1" customFormat="1" ht="15" x14ac:dyDescent="0.25">
      <c r="A125" s="27" t="s">
        <v>25</v>
      </c>
      <c r="B125" s="28" t="s">
        <v>45</v>
      </c>
      <c r="C125" s="29" t="s">
        <v>161</v>
      </c>
      <c r="D125" s="30">
        <v>498.53999999999996</v>
      </c>
      <c r="E125" s="38">
        <f t="shared" si="13"/>
        <v>498.51</v>
      </c>
      <c r="F125" s="32">
        <f>6.0004*P125</f>
        <v>498.54323399999998</v>
      </c>
      <c r="G125" s="32">
        <f t="shared" si="9"/>
        <v>498.50676599999997</v>
      </c>
      <c r="H125" s="33">
        <f t="shared" si="10"/>
        <v>-3.2340000000203872E-3</v>
      </c>
      <c r="I125" t="s">
        <v>161</v>
      </c>
      <c r="J125" t="s">
        <v>44</v>
      </c>
      <c r="K125">
        <v>6</v>
      </c>
      <c r="L125" s="31">
        <f t="shared" si="8"/>
        <v>498.51</v>
      </c>
      <c r="M125">
        <v>0</v>
      </c>
      <c r="N125" s="31">
        <f t="shared" si="11"/>
        <v>0</v>
      </c>
      <c r="O125" s="34">
        <v>6</v>
      </c>
      <c r="P125" s="35">
        <v>83.084999999999994</v>
      </c>
      <c r="Q125" s="36">
        <v>498.51</v>
      </c>
      <c r="R125" s="37">
        <f t="shared" si="12"/>
        <v>498.51</v>
      </c>
    </row>
    <row r="126" spans="1:18" s="1" customFormat="1" ht="15" x14ac:dyDescent="0.25">
      <c r="A126" s="27" t="s">
        <v>25</v>
      </c>
      <c r="B126" s="28" t="s">
        <v>45</v>
      </c>
      <c r="C126" s="29" t="s">
        <v>162</v>
      </c>
      <c r="D126" s="30">
        <v>737.3</v>
      </c>
      <c r="E126" s="38">
        <f t="shared" si="13"/>
        <v>737.28</v>
      </c>
      <c r="F126" s="32">
        <f>10.0003*P126</f>
        <v>737.30211839999993</v>
      </c>
      <c r="G126" s="32">
        <f t="shared" si="9"/>
        <v>737.2778816</v>
      </c>
      <c r="H126" s="33">
        <f t="shared" si="10"/>
        <v>-2.1183999998584113E-3</v>
      </c>
      <c r="I126" t="s">
        <v>162</v>
      </c>
      <c r="J126" t="s">
        <v>44</v>
      </c>
      <c r="K126">
        <v>10</v>
      </c>
      <c r="L126" s="31">
        <f t="shared" si="8"/>
        <v>737.28</v>
      </c>
      <c r="M126">
        <v>0</v>
      </c>
      <c r="N126" s="31">
        <f t="shared" si="11"/>
        <v>0</v>
      </c>
      <c r="O126" s="34">
        <v>10</v>
      </c>
      <c r="P126" s="35">
        <v>73.727999999999994</v>
      </c>
      <c r="Q126" s="36">
        <v>737.27999999999986</v>
      </c>
      <c r="R126" s="37">
        <f t="shared" si="12"/>
        <v>737.28</v>
      </c>
    </row>
    <row r="127" spans="1:18" s="1" customFormat="1" ht="15" x14ac:dyDescent="0.25">
      <c r="A127" s="27" t="s">
        <v>25</v>
      </c>
      <c r="B127" s="28" t="s">
        <v>45</v>
      </c>
      <c r="C127" s="29" t="s">
        <v>163</v>
      </c>
      <c r="D127" s="30">
        <v>291.39999999999998</v>
      </c>
      <c r="E127" s="38">
        <f t="shared" si="13"/>
        <v>291.39999999999998</v>
      </c>
      <c r="F127" s="32">
        <f>4*P127</f>
        <v>291.39999999999998</v>
      </c>
      <c r="G127" s="32">
        <f t="shared" si="9"/>
        <v>291.39999999999998</v>
      </c>
      <c r="H127" s="33">
        <f t="shared" si="10"/>
        <v>0</v>
      </c>
      <c r="I127" t="s">
        <v>163</v>
      </c>
      <c r="J127" t="s">
        <v>44</v>
      </c>
      <c r="K127">
        <v>4</v>
      </c>
      <c r="L127" s="31">
        <f t="shared" si="8"/>
        <v>291.39999999999998</v>
      </c>
      <c r="M127">
        <v>0</v>
      </c>
      <c r="N127" s="31">
        <f t="shared" si="11"/>
        <v>0</v>
      </c>
      <c r="O127" s="34">
        <v>4</v>
      </c>
      <c r="P127" s="35">
        <v>72.849999999999994</v>
      </c>
      <c r="Q127" s="36">
        <v>291.39999999999998</v>
      </c>
      <c r="R127" s="37">
        <f t="shared" si="12"/>
        <v>291.39999999999998</v>
      </c>
    </row>
    <row r="128" spans="1:18" s="1" customFormat="1" ht="15" x14ac:dyDescent="0.25">
      <c r="A128" s="27" t="s">
        <v>25</v>
      </c>
      <c r="B128" s="28" t="s">
        <v>45</v>
      </c>
      <c r="C128" s="29" t="s">
        <v>164</v>
      </c>
      <c r="D128" s="30">
        <v>1062.8389999999999</v>
      </c>
      <c r="E128" s="38">
        <f t="shared" si="13"/>
        <v>1350.5922</v>
      </c>
      <c r="F128" s="32">
        <f>49.1993*P128</f>
        <v>1444.5258875100001</v>
      </c>
      <c r="G128" s="32">
        <f t="shared" si="9"/>
        <v>968.90531248999991</v>
      </c>
      <c r="H128" s="33">
        <f t="shared" si="10"/>
        <v>2.2124899999198533E-3</v>
      </c>
      <c r="I128" t="s">
        <v>164</v>
      </c>
      <c r="J128" t="s">
        <v>44</v>
      </c>
      <c r="K128">
        <v>46</v>
      </c>
      <c r="L128" s="31">
        <f t="shared" si="8"/>
        <v>1350.5922</v>
      </c>
      <c r="M128">
        <v>13</v>
      </c>
      <c r="N128" s="31">
        <f t="shared" si="11"/>
        <v>381.6891</v>
      </c>
      <c r="O128" s="34">
        <v>33</v>
      </c>
      <c r="P128" s="35">
        <v>29.360700000000001</v>
      </c>
      <c r="Q128" s="36">
        <v>968.90309999999999</v>
      </c>
      <c r="R128" s="37">
        <f t="shared" si="12"/>
        <v>968.90309999999999</v>
      </c>
    </row>
    <row r="129" spans="1:18" s="1" customFormat="1" ht="15" x14ac:dyDescent="0.25">
      <c r="A129" s="27" t="s">
        <v>25</v>
      </c>
      <c r="B129" s="28" t="s">
        <v>29</v>
      </c>
      <c r="C129" s="29" t="s">
        <v>165</v>
      </c>
      <c r="D129" s="30">
        <v>1365</v>
      </c>
      <c r="E129" s="38">
        <f t="shared" si="13"/>
        <v>3400.5014999999999</v>
      </c>
      <c r="F129" s="32">
        <f>33.0635*P129</f>
        <v>2498.4995854499998</v>
      </c>
      <c r="G129" s="32">
        <f t="shared" si="9"/>
        <v>2267.0019145500005</v>
      </c>
      <c r="H129" s="33">
        <f t="shared" si="10"/>
        <v>9.1455000028872746E-4</v>
      </c>
      <c r="I129" t="s">
        <v>165</v>
      </c>
      <c r="J129" t="s">
        <v>28</v>
      </c>
      <c r="K129">
        <v>45</v>
      </c>
      <c r="L129" s="31">
        <f t="shared" si="8"/>
        <v>3400.5014999999999</v>
      </c>
      <c r="M129">
        <v>15</v>
      </c>
      <c r="N129" s="31">
        <f t="shared" si="11"/>
        <v>1133.5004999999999</v>
      </c>
      <c r="O129" s="34">
        <v>30</v>
      </c>
      <c r="P129" s="35">
        <v>75.566699999999997</v>
      </c>
      <c r="Q129" s="36">
        <v>2267.0010000000002</v>
      </c>
      <c r="R129" s="37">
        <f t="shared" si="12"/>
        <v>2267.0010000000002</v>
      </c>
    </row>
    <row r="130" spans="1:18" s="1" customFormat="1" ht="15" x14ac:dyDescent="0.25">
      <c r="A130" s="27" t="s">
        <v>25</v>
      </c>
      <c r="B130" s="28" t="s">
        <v>29</v>
      </c>
      <c r="C130" s="29" t="s">
        <v>166</v>
      </c>
      <c r="D130" s="30">
        <v>1779.9979000000008</v>
      </c>
      <c r="E130" s="38">
        <f t="shared" si="13"/>
        <v>1780.0169999999998</v>
      </c>
      <c r="F130" s="32">
        <f>10.99987*P130</f>
        <v>1957.9955597789997</v>
      </c>
      <c r="G130" s="32">
        <f t="shared" si="9"/>
        <v>1602.0193402210009</v>
      </c>
      <c r="H130" s="33">
        <f t="shared" si="10"/>
        <v>4.0402210011052375E-3</v>
      </c>
      <c r="I130" t="s">
        <v>166</v>
      </c>
      <c r="J130" t="s">
        <v>28</v>
      </c>
      <c r="K130">
        <v>10</v>
      </c>
      <c r="L130" s="31">
        <f t="shared" si="8"/>
        <v>1780.0169999999998</v>
      </c>
      <c r="M130">
        <v>1</v>
      </c>
      <c r="N130" s="31">
        <f t="shared" si="11"/>
        <v>178.00169999999997</v>
      </c>
      <c r="O130" s="34">
        <v>9</v>
      </c>
      <c r="P130" s="35">
        <v>178.00169999999997</v>
      </c>
      <c r="Q130" s="36">
        <v>1602.0152999999998</v>
      </c>
      <c r="R130" s="37">
        <f t="shared" si="12"/>
        <v>1602.0152999999998</v>
      </c>
    </row>
    <row r="131" spans="1:18" s="1" customFormat="1" ht="15" x14ac:dyDescent="0.25">
      <c r="A131" s="27" t="s">
        <v>25</v>
      </c>
      <c r="B131" s="28" t="s">
        <v>29</v>
      </c>
      <c r="C131" s="29" t="s">
        <v>167</v>
      </c>
      <c r="D131" s="30">
        <v>92.400100000000009</v>
      </c>
      <c r="E131" s="38">
        <f t="shared" si="13"/>
        <v>92.418800000000005</v>
      </c>
      <c r="F131" s="32">
        <f>4.999*P131</f>
        <v>115.50039529999999</v>
      </c>
      <c r="G131" s="32">
        <f t="shared" si="9"/>
        <v>69.31850470000002</v>
      </c>
      <c r="H131" s="33">
        <f t="shared" si="10"/>
        <v>4.404700000009143E-3</v>
      </c>
      <c r="I131" t="s">
        <v>167</v>
      </c>
      <c r="J131" t="s">
        <v>28</v>
      </c>
      <c r="K131">
        <v>4</v>
      </c>
      <c r="L131" s="31">
        <f t="shared" si="8"/>
        <v>92.418800000000005</v>
      </c>
      <c r="M131">
        <v>1</v>
      </c>
      <c r="N131" s="31">
        <f t="shared" si="11"/>
        <v>23.104700000000001</v>
      </c>
      <c r="O131" s="34">
        <v>3</v>
      </c>
      <c r="P131" s="35">
        <v>23.104700000000001</v>
      </c>
      <c r="Q131" s="36">
        <v>69.31410000000001</v>
      </c>
      <c r="R131" s="37">
        <f t="shared" si="12"/>
        <v>69.314099999999996</v>
      </c>
    </row>
    <row r="132" spans="1:18" s="1" customFormat="1" ht="15" x14ac:dyDescent="0.25">
      <c r="A132" s="27" t="s">
        <v>25</v>
      </c>
      <c r="B132" s="28" t="s">
        <v>29</v>
      </c>
      <c r="C132" s="29" t="s">
        <v>168</v>
      </c>
      <c r="D132" s="30">
        <v>13567.89899999999</v>
      </c>
      <c r="E132" s="38">
        <f t="shared" si="13"/>
        <v>13567.976000000001</v>
      </c>
      <c r="F132" s="32">
        <f>19.99989*P132</f>
        <v>14282.00144856</v>
      </c>
      <c r="G132" s="32">
        <f t="shared" si="9"/>
        <v>12853.873551439992</v>
      </c>
      <c r="H132" s="33">
        <f t="shared" si="10"/>
        <v>1.5514399910898646E-3</v>
      </c>
      <c r="I132" t="s">
        <v>168</v>
      </c>
      <c r="J132" t="s">
        <v>28</v>
      </c>
      <c r="K132">
        <v>19</v>
      </c>
      <c r="L132" s="31">
        <f t="shared" si="8"/>
        <v>13567.976000000001</v>
      </c>
      <c r="M132">
        <v>1</v>
      </c>
      <c r="N132" s="31">
        <f t="shared" si="11"/>
        <v>714.10400000000004</v>
      </c>
      <c r="O132" s="34">
        <v>18</v>
      </c>
      <c r="P132" s="35">
        <v>714.10400000000004</v>
      </c>
      <c r="Q132" s="36">
        <v>12853.872000000001</v>
      </c>
      <c r="R132" s="37">
        <f t="shared" si="12"/>
        <v>12853.872000000001</v>
      </c>
    </row>
    <row r="133" spans="1:18" s="1" customFormat="1" ht="15" x14ac:dyDescent="0.25">
      <c r="A133" s="27" t="s">
        <v>25</v>
      </c>
      <c r="B133" s="28" t="s">
        <v>29</v>
      </c>
      <c r="C133" s="29" t="s">
        <v>169</v>
      </c>
      <c r="D133" s="30">
        <v>2842.25</v>
      </c>
      <c r="E133" s="38">
        <f t="shared" si="13"/>
        <v>5082.3405000000002</v>
      </c>
      <c r="F133" s="32">
        <f>39.16579*P133</f>
        <v>4423.4195718110004</v>
      </c>
      <c r="G133" s="32">
        <f t="shared" si="9"/>
        <v>3501.1709281889998</v>
      </c>
      <c r="H133" s="33">
        <f t="shared" si="10"/>
        <v>3.0281889999059786E-3</v>
      </c>
      <c r="I133" t="s">
        <v>169</v>
      </c>
      <c r="J133" t="s">
        <v>34</v>
      </c>
      <c r="K133">
        <v>45</v>
      </c>
      <c r="L133" s="31">
        <f t="shared" si="8"/>
        <v>5082.3405000000002</v>
      </c>
      <c r="M133">
        <v>14</v>
      </c>
      <c r="N133" s="31">
        <f t="shared" si="11"/>
        <v>1581.1725999999999</v>
      </c>
      <c r="O133" s="34">
        <v>31</v>
      </c>
      <c r="P133" s="35">
        <v>112.9409</v>
      </c>
      <c r="Q133" s="36">
        <v>3501.1678999999999</v>
      </c>
      <c r="R133" s="37">
        <f t="shared" si="12"/>
        <v>3501.1679000000004</v>
      </c>
    </row>
    <row r="134" spans="1:18" s="1" customFormat="1" ht="15" x14ac:dyDescent="0.25">
      <c r="A134" s="27" t="s">
        <v>25</v>
      </c>
      <c r="B134" s="28" t="s">
        <v>29</v>
      </c>
      <c r="C134" s="29" t="s">
        <v>170</v>
      </c>
      <c r="D134" s="30">
        <v>2558.5370000000003</v>
      </c>
      <c r="E134" s="38">
        <f t="shared" si="13"/>
        <v>5567.4098999999997</v>
      </c>
      <c r="F134" s="32">
        <f>35.9227*P134</f>
        <v>5128.1127080699998</v>
      </c>
      <c r="G134" s="32">
        <f t="shared" si="9"/>
        <v>2997.8341919300001</v>
      </c>
      <c r="H134" s="33">
        <f t="shared" si="10"/>
        <v>-1.9080699998994533E-3</v>
      </c>
      <c r="I134" t="s">
        <v>170</v>
      </c>
      <c r="J134" t="s">
        <v>113</v>
      </c>
      <c r="K134">
        <v>39</v>
      </c>
      <c r="L134" s="31">
        <f t="shared" si="8"/>
        <v>5567.4098999999997</v>
      </c>
      <c r="M134">
        <v>18</v>
      </c>
      <c r="N134" s="31">
        <f t="shared" si="11"/>
        <v>2569.5738000000001</v>
      </c>
      <c r="O134" s="34">
        <v>21</v>
      </c>
      <c r="P134" s="35">
        <v>142.75409999999999</v>
      </c>
      <c r="Q134" s="36">
        <v>2997.8361</v>
      </c>
      <c r="R134" s="37">
        <f t="shared" si="12"/>
        <v>2997.8360999999995</v>
      </c>
    </row>
    <row r="135" spans="1:18" s="1" customFormat="1" ht="15" x14ac:dyDescent="0.25">
      <c r="A135" s="27" t="s">
        <v>25</v>
      </c>
      <c r="B135" s="28" t="s">
        <v>29</v>
      </c>
      <c r="C135" s="29" t="s">
        <v>171</v>
      </c>
      <c r="D135" s="30">
        <v>1903.4886000000001</v>
      </c>
      <c r="E135" s="38">
        <f t="shared" si="13"/>
        <v>1903.5392999999999</v>
      </c>
      <c r="F135" s="32">
        <f>22.99954*P135</f>
        <v>2575.3251924659999</v>
      </c>
      <c r="G135" s="32">
        <f t="shared" si="9"/>
        <v>1231.7027075340002</v>
      </c>
      <c r="H135" s="33">
        <f t="shared" si="10"/>
        <v>8.0753400038702239E-4</v>
      </c>
      <c r="I135" t="s">
        <v>171</v>
      </c>
      <c r="J135" t="s">
        <v>44</v>
      </c>
      <c r="K135">
        <v>17</v>
      </c>
      <c r="L135" s="31">
        <f t="shared" si="8"/>
        <v>1903.5392999999999</v>
      </c>
      <c r="M135">
        <v>6</v>
      </c>
      <c r="N135" s="31">
        <f t="shared" si="11"/>
        <v>671.8374</v>
      </c>
      <c r="O135" s="34">
        <v>11</v>
      </c>
      <c r="P135" s="35">
        <v>111.9729</v>
      </c>
      <c r="Q135" s="36">
        <v>1231.7018999999998</v>
      </c>
      <c r="R135" s="37">
        <f t="shared" si="12"/>
        <v>1231.7019</v>
      </c>
    </row>
    <row r="136" spans="1:18" s="1" customFormat="1" ht="15" x14ac:dyDescent="0.25">
      <c r="A136" s="27" t="s">
        <v>25</v>
      </c>
      <c r="B136" s="28" t="s">
        <v>45</v>
      </c>
      <c r="C136" s="29" t="s">
        <v>172</v>
      </c>
      <c r="D136" s="30">
        <v>61.98</v>
      </c>
      <c r="E136" s="38">
        <f t="shared" si="13"/>
        <v>61.98</v>
      </c>
      <c r="F136" s="32">
        <f>4*P136</f>
        <v>123.96</v>
      </c>
      <c r="G136" s="32">
        <f t="shared" si="9"/>
        <v>0</v>
      </c>
      <c r="H136" s="33">
        <f t="shared" si="10"/>
        <v>0</v>
      </c>
      <c r="I136" t="s">
        <v>172</v>
      </c>
      <c r="J136" t="s">
        <v>28</v>
      </c>
      <c r="K136">
        <v>2</v>
      </c>
      <c r="L136" s="31">
        <f t="shared" si="8"/>
        <v>61.98</v>
      </c>
      <c r="M136">
        <v>2</v>
      </c>
      <c r="N136" s="31">
        <f t="shared" si="11"/>
        <v>61.98</v>
      </c>
      <c r="O136" s="34">
        <v>0</v>
      </c>
      <c r="P136" s="35">
        <v>30.99</v>
      </c>
      <c r="Q136" s="36">
        <v>0</v>
      </c>
      <c r="R136" s="37">
        <f t="shared" si="12"/>
        <v>0</v>
      </c>
    </row>
    <row r="137" spans="1:18" s="1" customFormat="1" ht="15" x14ac:dyDescent="0.25">
      <c r="A137" s="27" t="s">
        <v>25</v>
      </c>
      <c r="B137" s="28" t="s">
        <v>45</v>
      </c>
      <c r="C137" s="29" t="s">
        <v>173</v>
      </c>
      <c r="D137" s="30">
        <v>1149.1349999999998</v>
      </c>
      <c r="E137" s="38">
        <f t="shared" si="13"/>
        <v>2228.8200000000002</v>
      </c>
      <c r="F137" s="32">
        <f>1.54674*P137</f>
        <v>1149.1350156000001</v>
      </c>
      <c r="G137" s="32">
        <f t="shared" si="9"/>
        <v>2228.8199844000001</v>
      </c>
      <c r="H137" s="33">
        <f t="shared" si="10"/>
        <v>-1.5600000097037992E-5</v>
      </c>
      <c r="I137" t="s">
        <v>173</v>
      </c>
      <c r="J137" t="s">
        <v>44</v>
      </c>
      <c r="K137">
        <v>3</v>
      </c>
      <c r="L137" s="31">
        <f t="shared" si="8"/>
        <v>2228.8200000000002</v>
      </c>
      <c r="M137">
        <v>0</v>
      </c>
      <c r="N137" s="31">
        <f t="shared" si="11"/>
        <v>0</v>
      </c>
      <c r="O137" s="34">
        <v>3</v>
      </c>
      <c r="P137" s="35">
        <v>742.94</v>
      </c>
      <c r="Q137" s="36">
        <v>2228.8200000000002</v>
      </c>
      <c r="R137" s="37">
        <f t="shared" si="12"/>
        <v>2228.8200000000002</v>
      </c>
    </row>
    <row r="138" spans="1:18" s="1" customFormat="1" ht="15" x14ac:dyDescent="0.25">
      <c r="A138" s="27" t="s">
        <v>25</v>
      </c>
      <c r="B138" s="28" t="s">
        <v>45</v>
      </c>
      <c r="C138" s="29" t="s">
        <v>174</v>
      </c>
      <c r="D138" s="30">
        <v>0</v>
      </c>
      <c r="E138" s="38">
        <f t="shared" si="13"/>
        <v>3239.1098999999995</v>
      </c>
      <c r="F138" s="32">
        <f>+M138*P138</f>
        <v>1079.7032999999999</v>
      </c>
      <c r="G138" s="32">
        <f t="shared" si="9"/>
        <v>2159.4065999999993</v>
      </c>
      <c r="H138" s="33">
        <f t="shared" si="10"/>
        <v>0</v>
      </c>
      <c r="I138" t="s">
        <v>174</v>
      </c>
      <c r="J138" t="s">
        <v>44</v>
      </c>
      <c r="K138">
        <v>3</v>
      </c>
      <c r="L138" s="31">
        <f t="shared" si="8"/>
        <v>3239.1098999999995</v>
      </c>
      <c r="M138">
        <v>1</v>
      </c>
      <c r="N138" s="31">
        <f t="shared" si="11"/>
        <v>1079.7032999999999</v>
      </c>
      <c r="O138" s="34">
        <v>2</v>
      </c>
      <c r="P138" s="35">
        <v>1079.7032999999999</v>
      </c>
      <c r="Q138" s="36">
        <v>2159.4065999999998</v>
      </c>
      <c r="R138" s="37">
        <f t="shared" si="12"/>
        <v>2159.4065999999993</v>
      </c>
    </row>
    <row r="139" spans="1:18" s="1" customFormat="1" ht="15" x14ac:dyDescent="0.25">
      <c r="A139" s="27" t="s">
        <v>25</v>
      </c>
      <c r="B139" s="28" t="s">
        <v>45</v>
      </c>
      <c r="C139" s="29" t="s">
        <v>175</v>
      </c>
      <c r="D139" s="30">
        <v>551.68400000000008</v>
      </c>
      <c r="E139" s="38">
        <f t="shared" si="13"/>
        <v>551.61599999999999</v>
      </c>
      <c r="F139" s="32">
        <f>32.002*P139</f>
        <v>1103.3009520000001</v>
      </c>
      <c r="G139" s="32">
        <f t="shared" si="9"/>
        <v>-9.5199999987016781E-4</v>
      </c>
      <c r="H139" s="33">
        <f t="shared" si="10"/>
        <v>-9.5199999987016781E-4</v>
      </c>
      <c r="I139" t="s">
        <v>175</v>
      </c>
      <c r="J139" t="s">
        <v>44</v>
      </c>
      <c r="K139">
        <v>16</v>
      </c>
      <c r="L139" s="31">
        <f t="shared" si="8"/>
        <v>551.61599999999999</v>
      </c>
      <c r="M139">
        <v>16</v>
      </c>
      <c r="N139" s="31">
        <f t="shared" si="11"/>
        <v>551.61599999999999</v>
      </c>
      <c r="O139" s="34">
        <v>0</v>
      </c>
      <c r="P139" s="35">
        <v>34.475999999999999</v>
      </c>
      <c r="Q139" s="36">
        <v>0</v>
      </c>
      <c r="R139" s="37">
        <f t="shared" si="12"/>
        <v>0</v>
      </c>
    </row>
    <row r="140" spans="1:18" s="1" customFormat="1" ht="15" x14ac:dyDescent="0.25">
      <c r="A140" s="27" t="s">
        <v>25</v>
      </c>
      <c r="B140" s="28" t="s">
        <v>45</v>
      </c>
      <c r="C140" s="29" t="s">
        <v>176</v>
      </c>
      <c r="D140" s="30">
        <v>5600</v>
      </c>
      <c r="E140" s="38">
        <f t="shared" si="13"/>
        <v>5600</v>
      </c>
      <c r="F140" s="32">
        <f>2*P140</f>
        <v>5600</v>
      </c>
      <c r="G140" s="32">
        <f t="shared" si="9"/>
        <v>5600</v>
      </c>
      <c r="H140" s="33">
        <f t="shared" si="10"/>
        <v>0</v>
      </c>
      <c r="I140" t="s">
        <v>176</v>
      </c>
      <c r="J140" t="s">
        <v>59</v>
      </c>
      <c r="K140">
        <v>2</v>
      </c>
      <c r="L140" s="31">
        <f t="shared" si="8"/>
        <v>5600</v>
      </c>
      <c r="M140">
        <v>0</v>
      </c>
      <c r="N140" s="31">
        <f t="shared" si="11"/>
        <v>0</v>
      </c>
      <c r="O140" s="34">
        <v>2</v>
      </c>
      <c r="P140" s="35">
        <v>2800</v>
      </c>
      <c r="Q140" s="36">
        <v>5600</v>
      </c>
      <c r="R140" s="37">
        <f t="shared" si="12"/>
        <v>5600</v>
      </c>
    </row>
    <row r="141" spans="1:18" s="1" customFormat="1" ht="15" x14ac:dyDescent="0.25">
      <c r="A141" s="27" t="s">
        <v>25</v>
      </c>
      <c r="B141" s="28" t="s">
        <v>45</v>
      </c>
      <c r="C141" s="29" t="s">
        <v>177</v>
      </c>
      <c r="D141" s="30">
        <v>40.557600000000093</v>
      </c>
      <c r="E141" s="38">
        <f t="shared" si="13"/>
        <v>196.67949999999999</v>
      </c>
      <c r="F141" s="32">
        <f>12.392*P141</f>
        <v>78.621043999999998</v>
      </c>
      <c r="G141" s="32">
        <f t="shared" si="9"/>
        <v>158.61605600000007</v>
      </c>
      <c r="H141" s="33">
        <f t="shared" si="10"/>
        <v>3.5560000000600667E-3</v>
      </c>
      <c r="I141" t="s">
        <v>177</v>
      </c>
      <c r="J141" t="s">
        <v>28</v>
      </c>
      <c r="K141">
        <v>31</v>
      </c>
      <c r="L141" s="31">
        <f t="shared" ref="L141:L204" si="14">+K141*P141</f>
        <v>196.67949999999999</v>
      </c>
      <c r="M141">
        <v>6</v>
      </c>
      <c r="N141" s="31">
        <f t="shared" si="11"/>
        <v>38.067</v>
      </c>
      <c r="O141" s="34">
        <v>25</v>
      </c>
      <c r="P141" s="35">
        <v>6.3445</v>
      </c>
      <c r="Q141" s="36">
        <v>158.61250000000001</v>
      </c>
      <c r="R141" s="37">
        <f t="shared" si="12"/>
        <v>158.61249999999998</v>
      </c>
    </row>
    <row r="142" spans="1:18" s="1" customFormat="1" ht="15" x14ac:dyDescent="0.25">
      <c r="A142" s="27" t="s">
        <v>25</v>
      </c>
      <c r="B142" s="28" t="s">
        <v>45</v>
      </c>
      <c r="C142" s="29" t="s">
        <v>178</v>
      </c>
      <c r="D142" s="30">
        <v>183.26260000000002</v>
      </c>
      <c r="E142" s="38">
        <f t="shared" si="13"/>
        <v>183.34819999999999</v>
      </c>
      <c r="F142" s="32">
        <f>49.977*P142</f>
        <v>187.0039386</v>
      </c>
      <c r="G142" s="32">
        <f t="shared" ref="G142:G205" si="15">+D142+E142-F142</f>
        <v>179.60686140000004</v>
      </c>
      <c r="H142" s="33">
        <f t="shared" ref="H142:H205" si="16">+G142-Q142</f>
        <v>4.6140000003447312E-4</v>
      </c>
      <c r="I142" t="s">
        <v>178</v>
      </c>
      <c r="J142" t="s">
        <v>127</v>
      </c>
      <c r="K142">
        <v>49</v>
      </c>
      <c r="L142" s="31">
        <f t="shared" si="14"/>
        <v>183.34819999999999</v>
      </c>
      <c r="M142">
        <v>1</v>
      </c>
      <c r="N142" s="31">
        <f t="shared" si="11"/>
        <v>3.7418</v>
      </c>
      <c r="O142" s="34">
        <v>48</v>
      </c>
      <c r="P142" s="35">
        <v>3.7418</v>
      </c>
      <c r="Q142" s="36">
        <v>179.60640000000001</v>
      </c>
      <c r="R142" s="37">
        <f t="shared" si="12"/>
        <v>179.60639999999998</v>
      </c>
    </row>
    <row r="143" spans="1:18" s="1" customFormat="1" ht="15" x14ac:dyDescent="0.25">
      <c r="A143" s="27" t="s">
        <v>25</v>
      </c>
      <c r="B143" s="28" t="s">
        <v>45</v>
      </c>
      <c r="C143" s="29" t="s">
        <v>179</v>
      </c>
      <c r="D143" s="30">
        <v>1621.5506000000005</v>
      </c>
      <c r="E143" s="38">
        <f t="shared" si="13"/>
        <v>2950.6879999999996</v>
      </c>
      <c r="F143" s="32">
        <f>474.315*P143</f>
        <v>3413.5501919999997</v>
      </c>
      <c r="G143" s="32">
        <f t="shared" si="15"/>
        <v>1158.6884080000009</v>
      </c>
      <c r="H143" s="33">
        <f t="shared" si="16"/>
        <v>3.6080000008951174E-3</v>
      </c>
      <c r="I143" t="s">
        <v>179</v>
      </c>
      <c r="J143" t="s">
        <v>28</v>
      </c>
      <c r="K143">
        <v>410</v>
      </c>
      <c r="L143" s="31">
        <f t="shared" si="14"/>
        <v>2950.6879999999996</v>
      </c>
      <c r="M143">
        <v>249</v>
      </c>
      <c r="N143" s="31">
        <f t="shared" si="11"/>
        <v>1792.0031999999999</v>
      </c>
      <c r="O143" s="34">
        <v>161</v>
      </c>
      <c r="P143" s="35">
        <v>7.1967999999999996</v>
      </c>
      <c r="Q143" s="36">
        <v>1158.6848</v>
      </c>
      <c r="R143" s="37">
        <f t="shared" si="12"/>
        <v>1158.6847999999998</v>
      </c>
    </row>
    <row r="144" spans="1:18" s="1" customFormat="1" ht="15" x14ac:dyDescent="0.25">
      <c r="A144" s="27" t="s">
        <v>25</v>
      </c>
      <c r="B144" s="28" t="s">
        <v>45</v>
      </c>
      <c r="C144" s="29" t="s">
        <v>180</v>
      </c>
      <c r="D144" s="30">
        <v>5894.4219999999996</v>
      </c>
      <c r="E144" s="38">
        <f t="shared" si="13"/>
        <v>5892.0479999999998</v>
      </c>
      <c r="F144" s="32">
        <f>641.2385*P144</f>
        <v>6371.3457360000002</v>
      </c>
      <c r="G144" s="32">
        <f t="shared" si="15"/>
        <v>5415.1242639999991</v>
      </c>
      <c r="H144" s="33">
        <f t="shared" si="16"/>
        <v>4.2639999992388766E-3</v>
      </c>
      <c r="I144" t="s">
        <v>180</v>
      </c>
      <c r="J144" t="s">
        <v>28</v>
      </c>
      <c r="K144">
        <v>593</v>
      </c>
      <c r="L144" s="31">
        <f t="shared" si="14"/>
        <v>5892.0479999999998</v>
      </c>
      <c r="M144">
        <v>48</v>
      </c>
      <c r="N144" s="31">
        <f t="shared" si="11"/>
        <v>476.928</v>
      </c>
      <c r="O144" s="34">
        <v>545</v>
      </c>
      <c r="P144" s="35">
        <v>9.9359999999999999</v>
      </c>
      <c r="Q144" s="36">
        <v>5415.12</v>
      </c>
      <c r="R144" s="37">
        <f t="shared" si="12"/>
        <v>5415.12</v>
      </c>
    </row>
    <row r="145" spans="1:18" s="1" customFormat="1" ht="15" x14ac:dyDescent="0.25">
      <c r="A145" s="27" t="s">
        <v>25</v>
      </c>
      <c r="B145" s="28" t="s">
        <v>47</v>
      </c>
      <c r="C145" s="29" t="s">
        <v>181</v>
      </c>
      <c r="D145" s="30">
        <v>785.14239999999995</v>
      </c>
      <c r="E145" s="38">
        <f t="shared" si="13"/>
        <v>1337.1078</v>
      </c>
      <c r="F145" s="32">
        <f>37.8187*P145</f>
        <v>828.97834025999998</v>
      </c>
      <c r="G145" s="32">
        <f t="shared" si="15"/>
        <v>1293.2718597399999</v>
      </c>
      <c r="H145" s="33">
        <f t="shared" si="16"/>
        <v>3.6597399998754554E-3</v>
      </c>
      <c r="I145" t="s">
        <v>181</v>
      </c>
      <c r="J145" t="s">
        <v>28</v>
      </c>
      <c r="K145">
        <v>61</v>
      </c>
      <c r="L145" s="31">
        <f t="shared" si="14"/>
        <v>1337.1078</v>
      </c>
      <c r="M145">
        <v>2</v>
      </c>
      <c r="N145" s="31">
        <f t="shared" si="11"/>
        <v>43.839599999999997</v>
      </c>
      <c r="O145" s="34">
        <v>59</v>
      </c>
      <c r="P145" s="35">
        <v>21.919799999999999</v>
      </c>
      <c r="Q145" s="36">
        <v>1293.2682</v>
      </c>
      <c r="R145" s="37">
        <f t="shared" si="12"/>
        <v>1293.2682</v>
      </c>
    </row>
    <row r="146" spans="1:18" s="1" customFormat="1" ht="15" x14ac:dyDescent="0.25">
      <c r="A146" s="27" t="s">
        <v>25</v>
      </c>
      <c r="B146" s="28" t="s">
        <v>47</v>
      </c>
      <c r="C146" s="29" t="s">
        <v>182</v>
      </c>
      <c r="D146" s="30">
        <v>1100.5011999999997</v>
      </c>
      <c r="E146" s="38">
        <f t="shared" si="13"/>
        <v>1100.56</v>
      </c>
      <c r="F146" s="32">
        <f>64.9973*P146</f>
        <v>1430.6685697599999</v>
      </c>
      <c r="G146" s="32">
        <f t="shared" si="15"/>
        <v>770.39263023999979</v>
      </c>
      <c r="H146" s="33">
        <f t="shared" si="16"/>
        <v>6.3023999985034607E-4</v>
      </c>
      <c r="I146" t="s">
        <v>182</v>
      </c>
      <c r="J146" t="s">
        <v>28</v>
      </c>
      <c r="K146">
        <v>50</v>
      </c>
      <c r="L146" s="31">
        <f t="shared" si="14"/>
        <v>1100.56</v>
      </c>
      <c r="M146">
        <v>15</v>
      </c>
      <c r="N146" s="31">
        <f t="shared" si="11"/>
        <v>330.16800000000001</v>
      </c>
      <c r="O146" s="34">
        <v>35</v>
      </c>
      <c r="P146" s="35">
        <v>22.011199999999999</v>
      </c>
      <c r="Q146" s="36">
        <v>770.39199999999994</v>
      </c>
      <c r="R146" s="37">
        <f t="shared" si="12"/>
        <v>770.39199999999994</v>
      </c>
    </row>
    <row r="147" spans="1:18" s="1" customFormat="1" ht="15" x14ac:dyDescent="0.25">
      <c r="A147" s="27" t="s">
        <v>25</v>
      </c>
      <c r="B147" s="28" t="s">
        <v>47</v>
      </c>
      <c r="C147" s="29" t="s">
        <v>183</v>
      </c>
      <c r="D147" s="30">
        <v>2501.58</v>
      </c>
      <c r="E147" s="38">
        <f t="shared" si="13"/>
        <v>2501.5967999999998</v>
      </c>
      <c r="F147" s="32">
        <f>71.9995*P147</f>
        <v>2501.5794277999998</v>
      </c>
      <c r="G147" s="32">
        <f t="shared" si="15"/>
        <v>2501.5973721999994</v>
      </c>
      <c r="H147" s="33">
        <f t="shared" si="16"/>
        <v>5.7219999962399015E-4</v>
      </c>
      <c r="I147" t="s">
        <v>183</v>
      </c>
      <c r="J147" t="s">
        <v>28</v>
      </c>
      <c r="K147">
        <v>72</v>
      </c>
      <c r="L147" s="31">
        <f t="shared" si="14"/>
        <v>2501.5967999999998</v>
      </c>
      <c r="M147">
        <v>0</v>
      </c>
      <c r="N147" s="31">
        <f t="shared" si="11"/>
        <v>0</v>
      </c>
      <c r="O147" s="34">
        <v>72</v>
      </c>
      <c r="P147" s="35">
        <v>34.744399999999999</v>
      </c>
      <c r="Q147" s="36">
        <v>2501.5967999999998</v>
      </c>
      <c r="R147" s="37">
        <f t="shared" si="12"/>
        <v>2501.5967999999998</v>
      </c>
    </row>
    <row r="148" spans="1:18" s="1" customFormat="1" ht="15" x14ac:dyDescent="0.25">
      <c r="A148" s="27" t="s">
        <v>25</v>
      </c>
      <c r="B148" s="28" t="s">
        <v>47</v>
      </c>
      <c r="C148" s="29" t="s">
        <v>184</v>
      </c>
      <c r="D148" s="30">
        <v>2809.1044000000006</v>
      </c>
      <c r="E148" s="38">
        <f t="shared" si="13"/>
        <v>2809.0370000000003</v>
      </c>
      <c r="F148" s="32">
        <f>75.0016*P148</f>
        <v>3009.7467065599999</v>
      </c>
      <c r="G148" s="32">
        <f t="shared" si="15"/>
        <v>2608.3946934400005</v>
      </c>
      <c r="H148" s="33">
        <f t="shared" si="16"/>
        <v>3.19344000035926E-3</v>
      </c>
      <c r="I148" t="s">
        <v>184</v>
      </c>
      <c r="J148" t="s">
        <v>28</v>
      </c>
      <c r="K148">
        <v>70</v>
      </c>
      <c r="L148" s="31">
        <f t="shared" si="14"/>
        <v>2809.0370000000003</v>
      </c>
      <c r="M148">
        <v>5</v>
      </c>
      <c r="N148" s="31">
        <f t="shared" ref="N148:N211" si="17">+M148*P148</f>
        <v>200.6455</v>
      </c>
      <c r="O148" s="34">
        <v>65</v>
      </c>
      <c r="P148" s="35">
        <v>40.129100000000001</v>
      </c>
      <c r="Q148" s="36">
        <v>2608.3915000000002</v>
      </c>
      <c r="R148" s="37">
        <f t="shared" ref="R148:R211" si="18">+L148-N148</f>
        <v>2608.3915000000002</v>
      </c>
    </row>
    <row r="149" spans="1:18" s="1" customFormat="1" ht="15" x14ac:dyDescent="0.25">
      <c r="A149" s="27" t="s">
        <v>25</v>
      </c>
      <c r="B149" s="28" t="s">
        <v>185</v>
      </c>
      <c r="C149" s="29" t="s">
        <v>186</v>
      </c>
      <c r="D149" s="30">
        <v>1630.5291999999999</v>
      </c>
      <c r="E149" s="38">
        <f t="shared" ref="E149:E212" si="19">+K149*P149</f>
        <v>1775.6795999999999</v>
      </c>
      <c r="F149" s="32">
        <f>17.0191*P149</f>
        <v>2518.3723900300001</v>
      </c>
      <c r="G149" s="32">
        <f t="shared" si="15"/>
        <v>887.83640996999975</v>
      </c>
      <c r="H149" s="33">
        <f t="shared" si="16"/>
        <v>-3.3900300002187578E-3</v>
      </c>
      <c r="I149" t="s">
        <v>186</v>
      </c>
      <c r="J149" t="s">
        <v>28</v>
      </c>
      <c r="K149">
        <v>12</v>
      </c>
      <c r="L149" s="31">
        <f t="shared" si="14"/>
        <v>1775.6795999999999</v>
      </c>
      <c r="M149">
        <v>6</v>
      </c>
      <c r="N149" s="31">
        <f t="shared" si="17"/>
        <v>887.83979999999997</v>
      </c>
      <c r="O149" s="34">
        <v>6</v>
      </c>
      <c r="P149" s="35">
        <v>147.97329999999999</v>
      </c>
      <c r="Q149" s="36">
        <v>887.83979999999997</v>
      </c>
      <c r="R149" s="37">
        <f t="shared" si="18"/>
        <v>887.83979999999997</v>
      </c>
    </row>
    <row r="150" spans="1:18" s="1" customFormat="1" ht="15" x14ac:dyDescent="0.25">
      <c r="A150" s="27" t="s">
        <v>25</v>
      </c>
      <c r="B150" s="28" t="s">
        <v>185</v>
      </c>
      <c r="C150" s="29" t="s">
        <v>187</v>
      </c>
      <c r="D150" s="30">
        <v>2488.6548999999991</v>
      </c>
      <c r="E150" s="38">
        <f t="shared" si="19"/>
        <v>2488.6935000000003</v>
      </c>
      <c r="F150" s="32">
        <f>15.99975*P150</f>
        <v>2654.5649217750001</v>
      </c>
      <c r="G150" s="32">
        <f t="shared" si="15"/>
        <v>2322.7834782249988</v>
      </c>
      <c r="H150" s="33">
        <f t="shared" si="16"/>
        <v>2.8782249987671094E-3</v>
      </c>
      <c r="I150" t="s">
        <v>187</v>
      </c>
      <c r="J150" t="s">
        <v>59</v>
      </c>
      <c r="K150">
        <v>15</v>
      </c>
      <c r="L150" s="31">
        <f t="shared" si="14"/>
        <v>2488.6935000000003</v>
      </c>
      <c r="M150">
        <v>1</v>
      </c>
      <c r="N150" s="31">
        <f t="shared" si="17"/>
        <v>165.91290000000001</v>
      </c>
      <c r="O150" s="34">
        <v>14</v>
      </c>
      <c r="P150" s="35">
        <v>165.91290000000001</v>
      </c>
      <c r="Q150" s="36">
        <v>2322.7806</v>
      </c>
      <c r="R150" s="37">
        <f t="shared" si="18"/>
        <v>2322.7806000000005</v>
      </c>
    </row>
    <row r="151" spans="1:18" s="1" customFormat="1" ht="15" x14ac:dyDescent="0.25">
      <c r="A151" s="27" t="s">
        <v>25</v>
      </c>
      <c r="B151" s="28" t="s">
        <v>185</v>
      </c>
      <c r="C151" s="29" t="s">
        <v>188</v>
      </c>
      <c r="D151" s="30">
        <v>3337.6000000000004</v>
      </c>
      <c r="E151" s="38">
        <f t="shared" si="19"/>
        <v>3337.6</v>
      </c>
      <c r="F151" s="32">
        <f>15*P151</f>
        <v>3576</v>
      </c>
      <c r="G151" s="32">
        <f t="shared" si="15"/>
        <v>3099.2000000000007</v>
      </c>
      <c r="H151" s="33">
        <f t="shared" si="16"/>
        <v>0</v>
      </c>
      <c r="I151" t="s">
        <v>188</v>
      </c>
      <c r="J151" t="s">
        <v>28</v>
      </c>
      <c r="K151">
        <v>14</v>
      </c>
      <c r="L151" s="31">
        <f t="shared" si="14"/>
        <v>3337.6</v>
      </c>
      <c r="M151">
        <v>1</v>
      </c>
      <c r="N151" s="31">
        <f t="shared" si="17"/>
        <v>238.4</v>
      </c>
      <c r="O151" s="34">
        <v>13</v>
      </c>
      <c r="P151" s="35">
        <v>238.4</v>
      </c>
      <c r="Q151" s="36">
        <v>3099.2</v>
      </c>
      <c r="R151" s="37">
        <f t="shared" si="18"/>
        <v>3099.2</v>
      </c>
    </row>
    <row r="152" spans="1:18" s="1" customFormat="1" ht="15" x14ac:dyDescent="0.25">
      <c r="A152" s="27" t="s">
        <v>25</v>
      </c>
      <c r="B152" s="28" t="s">
        <v>45</v>
      </c>
      <c r="C152" s="29" t="s">
        <v>189</v>
      </c>
      <c r="D152" s="30">
        <v>160.56319999999997</v>
      </c>
      <c r="E152" s="38">
        <f t="shared" si="19"/>
        <v>160.58760000000001</v>
      </c>
      <c r="F152" s="32">
        <f>12.998*P152</f>
        <v>173.94313539999999</v>
      </c>
      <c r="G152" s="32">
        <f t="shared" si="15"/>
        <v>147.20766460000002</v>
      </c>
      <c r="H152" s="33">
        <f t="shared" si="16"/>
        <v>2.3646000000212553E-3</v>
      </c>
      <c r="I152" t="s">
        <v>189</v>
      </c>
      <c r="J152" t="s">
        <v>28</v>
      </c>
      <c r="K152">
        <v>12</v>
      </c>
      <c r="L152" s="31">
        <f t="shared" si="14"/>
        <v>160.58760000000001</v>
      </c>
      <c r="M152">
        <v>1</v>
      </c>
      <c r="N152" s="31">
        <f t="shared" si="17"/>
        <v>13.382300000000001</v>
      </c>
      <c r="O152" s="34">
        <v>11</v>
      </c>
      <c r="P152" s="35">
        <v>13.382300000000001</v>
      </c>
      <c r="Q152" s="36">
        <v>147.20529999999999</v>
      </c>
      <c r="R152" s="37">
        <f t="shared" si="18"/>
        <v>147.20530000000002</v>
      </c>
    </row>
    <row r="153" spans="1:18" s="1" customFormat="1" ht="15" x14ac:dyDescent="0.25">
      <c r="A153" s="27" t="s">
        <v>25</v>
      </c>
      <c r="B153" s="28" t="s">
        <v>45</v>
      </c>
      <c r="C153" s="29" t="s">
        <v>190</v>
      </c>
      <c r="D153" s="30">
        <v>2137.5872000000008</v>
      </c>
      <c r="E153" s="38">
        <f t="shared" si="19"/>
        <v>2257.3525</v>
      </c>
      <c r="F153" s="32">
        <f>65.5513*P153</f>
        <v>2276.4983220499998</v>
      </c>
      <c r="G153" s="32">
        <f t="shared" si="15"/>
        <v>2118.441377950001</v>
      </c>
      <c r="H153" s="33">
        <f t="shared" si="16"/>
        <v>2.8779500012205972E-3</v>
      </c>
      <c r="I153" t="s">
        <v>190</v>
      </c>
      <c r="J153" t="s">
        <v>28</v>
      </c>
      <c r="K153">
        <v>65</v>
      </c>
      <c r="L153" s="31">
        <f t="shared" si="14"/>
        <v>2257.3525</v>
      </c>
      <c r="M153">
        <v>4</v>
      </c>
      <c r="N153" s="31">
        <f t="shared" si="17"/>
        <v>138.91399999999999</v>
      </c>
      <c r="O153" s="34">
        <v>61</v>
      </c>
      <c r="P153" s="35">
        <v>34.728499999999997</v>
      </c>
      <c r="Q153" s="36">
        <v>2118.4384999999997</v>
      </c>
      <c r="R153" s="37">
        <f t="shared" si="18"/>
        <v>2118.4385000000002</v>
      </c>
    </row>
    <row r="154" spans="1:18" s="1" customFormat="1" ht="15" x14ac:dyDescent="0.25">
      <c r="A154" s="27" t="s">
        <v>25</v>
      </c>
      <c r="B154" s="28" t="s">
        <v>45</v>
      </c>
      <c r="C154" s="29" t="s">
        <v>191</v>
      </c>
      <c r="D154" s="30">
        <v>324</v>
      </c>
      <c r="E154" s="38">
        <f t="shared" si="19"/>
        <v>324</v>
      </c>
      <c r="F154" s="32">
        <f>19*P154</f>
        <v>342</v>
      </c>
      <c r="G154" s="32">
        <f t="shared" si="15"/>
        <v>306</v>
      </c>
      <c r="H154" s="33">
        <f t="shared" si="16"/>
        <v>0</v>
      </c>
      <c r="I154" t="s">
        <v>191</v>
      </c>
      <c r="J154" t="s">
        <v>28</v>
      </c>
      <c r="K154">
        <v>18</v>
      </c>
      <c r="L154" s="31">
        <f t="shared" si="14"/>
        <v>324</v>
      </c>
      <c r="M154">
        <v>1</v>
      </c>
      <c r="N154" s="31">
        <f t="shared" si="17"/>
        <v>18</v>
      </c>
      <c r="O154" s="34">
        <v>17</v>
      </c>
      <c r="P154" s="35">
        <v>18</v>
      </c>
      <c r="Q154" s="36">
        <v>306</v>
      </c>
      <c r="R154" s="37">
        <f t="shared" si="18"/>
        <v>306</v>
      </c>
    </row>
    <row r="155" spans="1:18" s="1" customFormat="1" ht="15" x14ac:dyDescent="0.25">
      <c r="A155" s="27" t="s">
        <v>25</v>
      </c>
      <c r="B155" s="28" t="s">
        <v>32</v>
      </c>
      <c r="C155" s="29" t="s">
        <v>192</v>
      </c>
      <c r="D155" s="30">
        <v>31949.994999999995</v>
      </c>
      <c r="E155" s="38">
        <f t="shared" si="19"/>
        <v>31961.715</v>
      </c>
      <c r="F155" s="32">
        <f>11046.094*P155</f>
        <v>33150.432703400002</v>
      </c>
      <c r="G155" s="32">
        <f t="shared" si="15"/>
        <v>30761.27729659999</v>
      </c>
      <c r="H155" s="33">
        <f t="shared" si="16"/>
        <v>2.2965999887674116E-3</v>
      </c>
      <c r="I155" t="s">
        <v>192</v>
      </c>
      <c r="J155" t="s">
        <v>193</v>
      </c>
      <c r="K155">
        <v>10650</v>
      </c>
      <c r="L155" s="31">
        <f t="shared" si="14"/>
        <v>31961.715</v>
      </c>
      <c r="M155">
        <v>400</v>
      </c>
      <c r="N155" s="31">
        <f t="shared" si="17"/>
        <v>1200.44</v>
      </c>
      <c r="O155" s="34">
        <v>10250</v>
      </c>
      <c r="P155" s="35">
        <v>3.0011000000000001</v>
      </c>
      <c r="Q155" s="36">
        <v>30761.275000000001</v>
      </c>
      <c r="R155" s="37">
        <f t="shared" si="18"/>
        <v>30761.275000000001</v>
      </c>
    </row>
    <row r="156" spans="1:18" s="1" customFormat="1" ht="15" x14ac:dyDescent="0.25">
      <c r="A156" s="27" t="s">
        <v>25</v>
      </c>
      <c r="B156" s="28" t="s">
        <v>45</v>
      </c>
      <c r="C156" s="29" t="s">
        <v>194</v>
      </c>
      <c r="D156" s="30">
        <v>1756.1684000000005</v>
      </c>
      <c r="E156" s="38">
        <f t="shared" si="19"/>
        <v>1756.1663999999998</v>
      </c>
      <c r="F156" s="32">
        <f>27*P156</f>
        <v>1975.6871999999998</v>
      </c>
      <c r="G156" s="32">
        <f t="shared" si="15"/>
        <v>1536.6476000000007</v>
      </c>
      <c r="H156" s="33">
        <f t="shared" si="16"/>
        <v>2.0000000006348273E-3</v>
      </c>
      <c r="I156" t="s">
        <v>194</v>
      </c>
      <c r="J156" t="s">
        <v>28</v>
      </c>
      <c r="K156">
        <v>24</v>
      </c>
      <c r="L156" s="31">
        <f t="shared" si="14"/>
        <v>1756.1663999999998</v>
      </c>
      <c r="M156">
        <v>3</v>
      </c>
      <c r="N156" s="31">
        <f t="shared" si="17"/>
        <v>219.52079999999998</v>
      </c>
      <c r="O156" s="34">
        <v>21</v>
      </c>
      <c r="P156" s="35">
        <v>73.173599999999993</v>
      </c>
      <c r="Q156" s="36">
        <v>1536.6456000000001</v>
      </c>
      <c r="R156" s="37">
        <f t="shared" si="18"/>
        <v>1536.6455999999998</v>
      </c>
    </row>
    <row r="157" spans="1:18" s="1" customFormat="1" ht="15" x14ac:dyDescent="0.25">
      <c r="A157" s="27" t="s">
        <v>25</v>
      </c>
      <c r="B157" s="28" t="s">
        <v>45</v>
      </c>
      <c r="C157" s="29" t="s">
        <v>195</v>
      </c>
      <c r="D157" s="30">
        <v>3954.8441000000003</v>
      </c>
      <c r="E157" s="38">
        <f t="shared" si="19"/>
        <v>3954.8444999999997</v>
      </c>
      <c r="F157" s="32">
        <f>20*P157</f>
        <v>5273.1260000000002</v>
      </c>
      <c r="G157" s="32">
        <f t="shared" si="15"/>
        <v>2636.5625999999993</v>
      </c>
      <c r="H157" s="33">
        <f t="shared" si="16"/>
        <v>-4.0000000080908649E-4</v>
      </c>
      <c r="I157" t="s">
        <v>195</v>
      </c>
      <c r="J157" t="s">
        <v>28</v>
      </c>
      <c r="K157">
        <v>15</v>
      </c>
      <c r="L157" s="31">
        <f t="shared" si="14"/>
        <v>3954.8444999999997</v>
      </c>
      <c r="M157">
        <v>5</v>
      </c>
      <c r="N157" s="31">
        <f t="shared" si="17"/>
        <v>1318.2815000000001</v>
      </c>
      <c r="O157" s="34">
        <v>10</v>
      </c>
      <c r="P157" s="35">
        <v>263.65629999999999</v>
      </c>
      <c r="Q157" s="36">
        <v>2636.5630000000001</v>
      </c>
      <c r="R157" s="37">
        <f t="shared" si="18"/>
        <v>2636.5629999999996</v>
      </c>
    </row>
    <row r="158" spans="1:18" s="1" customFormat="1" ht="15" x14ac:dyDescent="0.25">
      <c r="A158" s="27" t="s">
        <v>25</v>
      </c>
      <c r="B158" s="28" t="s">
        <v>29</v>
      </c>
      <c r="C158" s="29" t="s">
        <v>196</v>
      </c>
      <c r="D158" s="30">
        <v>2242</v>
      </c>
      <c r="E158" s="38">
        <f t="shared" si="19"/>
        <v>2242</v>
      </c>
      <c r="F158" s="32">
        <f>2*P158</f>
        <v>2242</v>
      </c>
      <c r="G158" s="32">
        <f t="shared" si="15"/>
        <v>2242</v>
      </c>
      <c r="H158" s="33">
        <f t="shared" si="16"/>
        <v>0</v>
      </c>
      <c r="I158" t="s">
        <v>196</v>
      </c>
      <c r="J158" t="s">
        <v>28</v>
      </c>
      <c r="K158">
        <v>2</v>
      </c>
      <c r="L158" s="31">
        <f t="shared" si="14"/>
        <v>2242</v>
      </c>
      <c r="M158">
        <v>0</v>
      </c>
      <c r="N158" s="31">
        <f t="shared" si="17"/>
        <v>0</v>
      </c>
      <c r="O158" s="34">
        <v>2</v>
      </c>
      <c r="P158" s="35">
        <v>1121</v>
      </c>
      <c r="Q158" s="36">
        <v>2242</v>
      </c>
      <c r="R158" s="37">
        <f t="shared" si="18"/>
        <v>2242</v>
      </c>
    </row>
    <row r="159" spans="1:18" s="1" customFormat="1" ht="15" x14ac:dyDescent="0.25">
      <c r="A159" s="27" t="s">
        <v>25</v>
      </c>
      <c r="B159" s="28" t="s">
        <v>197</v>
      </c>
      <c r="C159" s="29" t="s">
        <v>198</v>
      </c>
      <c r="D159" s="30">
        <v>35639.555200000061</v>
      </c>
      <c r="E159" s="38">
        <f t="shared" si="19"/>
        <v>150262.38500000001</v>
      </c>
      <c r="F159" s="32">
        <f>502.1684*P159</f>
        <v>116087.72531636001</v>
      </c>
      <c r="G159" s="32">
        <f t="shared" si="15"/>
        <v>69814.214883640059</v>
      </c>
      <c r="H159" s="33">
        <f t="shared" si="16"/>
        <v>-9.1635994613170624E-4</v>
      </c>
      <c r="I159" t="s">
        <v>198</v>
      </c>
      <c r="J159" t="s">
        <v>76</v>
      </c>
      <c r="K159">
        <v>650</v>
      </c>
      <c r="L159" s="31">
        <f t="shared" si="14"/>
        <v>150262.38500000001</v>
      </c>
      <c r="M159">
        <v>348</v>
      </c>
      <c r="N159" s="31">
        <f t="shared" si="17"/>
        <v>80448.169200000004</v>
      </c>
      <c r="O159" s="34">
        <v>302</v>
      </c>
      <c r="P159" s="35">
        <v>231.1729</v>
      </c>
      <c r="Q159" s="36">
        <v>69814.215800000005</v>
      </c>
      <c r="R159" s="37">
        <f t="shared" si="18"/>
        <v>69814.215800000005</v>
      </c>
    </row>
    <row r="160" spans="1:18" s="1" customFormat="1" ht="15" x14ac:dyDescent="0.25">
      <c r="A160" s="27" t="s">
        <v>25</v>
      </c>
      <c r="B160" s="28" t="s">
        <v>197</v>
      </c>
      <c r="C160" s="29" t="s">
        <v>199</v>
      </c>
      <c r="D160" s="30">
        <v>0</v>
      </c>
      <c r="E160" s="38">
        <f t="shared" si="19"/>
        <v>5500.01</v>
      </c>
      <c r="F160" s="32">
        <f>7*P160</f>
        <v>1925.0034999999998</v>
      </c>
      <c r="G160" s="32">
        <f t="shared" si="15"/>
        <v>3575.0065000000004</v>
      </c>
      <c r="H160" s="33">
        <f t="shared" si="16"/>
        <v>0</v>
      </c>
      <c r="I160" t="s">
        <v>199</v>
      </c>
      <c r="J160" t="s">
        <v>76</v>
      </c>
      <c r="K160">
        <v>20</v>
      </c>
      <c r="L160" s="31">
        <f t="shared" si="14"/>
        <v>5500.01</v>
      </c>
      <c r="M160">
        <v>7</v>
      </c>
      <c r="N160" s="31">
        <f t="shared" si="17"/>
        <v>1925.0034999999998</v>
      </c>
      <c r="O160" s="34">
        <v>13</v>
      </c>
      <c r="P160" s="35">
        <v>275.00049999999999</v>
      </c>
      <c r="Q160" s="36">
        <v>3575.0065000000004</v>
      </c>
      <c r="R160" s="37">
        <f t="shared" si="18"/>
        <v>3575.0065000000004</v>
      </c>
    </row>
    <row r="161" spans="1:18" s="1" customFormat="1" ht="15" x14ac:dyDescent="0.25">
      <c r="A161" s="27" t="s">
        <v>25</v>
      </c>
      <c r="B161" s="28" t="s">
        <v>47</v>
      </c>
      <c r="C161" s="29" t="s">
        <v>200</v>
      </c>
      <c r="D161" s="30">
        <v>25368.41949999996</v>
      </c>
      <c r="E161" s="38">
        <f t="shared" si="19"/>
        <v>92191.178800000009</v>
      </c>
      <c r="F161" s="32">
        <f>388.4984*P161</f>
        <v>83878.513952959998</v>
      </c>
      <c r="G161" s="32">
        <f t="shared" si="15"/>
        <v>33681.08434703997</v>
      </c>
      <c r="H161" s="33">
        <f t="shared" si="16"/>
        <v>-2.0529600369627587E-3</v>
      </c>
      <c r="I161" t="s">
        <v>200</v>
      </c>
      <c r="J161" t="s">
        <v>201</v>
      </c>
      <c r="K161">
        <v>427</v>
      </c>
      <c r="L161" s="31">
        <f t="shared" si="14"/>
        <v>92191.178800000009</v>
      </c>
      <c r="M161">
        <v>271</v>
      </c>
      <c r="N161" s="31">
        <f t="shared" si="17"/>
        <v>58510.092400000001</v>
      </c>
      <c r="O161" s="34">
        <v>156</v>
      </c>
      <c r="P161" s="35">
        <v>215.90440000000001</v>
      </c>
      <c r="Q161" s="36">
        <v>33681.086400000007</v>
      </c>
      <c r="R161" s="37">
        <f t="shared" si="18"/>
        <v>33681.086400000007</v>
      </c>
    </row>
    <row r="162" spans="1:18" s="1" customFormat="1" ht="15" x14ac:dyDescent="0.25">
      <c r="A162" s="27" t="s">
        <v>25</v>
      </c>
      <c r="B162" s="28" t="s">
        <v>47</v>
      </c>
      <c r="C162" s="29" t="s">
        <v>202</v>
      </c>
      <c r="D162" s="30">
        <v>0</v>
      </c>
      <c r="E162" s="38">
        <f t="shared" si="19"/>
        <v>11062.5</v>
      </c>
      <c r="F162" s="32">
        <f>+M162*P162</f>
        <v>3540</v>
      </c>
      <c r="G162" s="32">
        <f t="shared" si="15"/>
        <v>7522.5</v>
      </c>
      <c r="H162" s="33">
        <f t="shared" si="16"/>
        <v>0</v>
      </c>
      <c r="I162" t="s">
        <v>202</v>
      </c>
      <c r="J162" t="s">
        <v>28</v>
      </c>
      <c r="K162">
        <v>25</v>
      </c>
      <c r="L162" s="31">
        <f t="shared" si="14"/>
        <v>11062.5</v>
      </c>
      <c r="M162">
        <v>8</v>
      </c>
      <c r="N162" s="31">
        <f t="shared" si="17"/>
        <v>3540</v>
      </c>
      <c r="O162" s="34">
        <v>17</v>
      </c>
      <c r="P162" s="35">
        <v>442.5</v>
      </c>
      <c r="Q162" s="36">
        <v>7522.5</v>
      </c>
      <c r="R162" s="37">
        <f t="shared" si="18"/>
        <v>7522.5</v>
      </c>
    </row>
    <row r="163" spans="1:18" s="1" customFormat="1" ht="15" x14ac:dyDescent="0.25">
      <c r="A163" s="27" t="s">
        <v>25</v>
      </c>
      <c r="B163" s="28" t="s">
        <v>47</v>
      </c>
      <c r="C163" s="29" t="s">
        <v>203</v>
      </c>
      <c r="D163" s="30">
        <v>4675</v>
      </c>
      <c r="E163" s="38">
        <f t="shared" si="19"/>
        <v>7525</v>
      </c>
      <c r="F163" s="32">
        <f>6.21262*P163</f>
        <v>4674.9965499999998</v>
      </c>
      <c r="G163" s="32">
        <f t="shared" si="15"/>
        <v>7525.0034500000002</v>
      </c>
      <c r="H163" s="33">
        <f t="shared" si="16"/>
        <v>3.4500000001571607E-3</v>
      </c>
      <c r="I163" t="s">
        <v>203</v>
      </c>
      <c r="J163" t="s">
        <v>76</v>
      </c>
      <c r="K163">
        <v>10</v>
      </c>
      <c r="L163" s="31">
        <f t="shared" si="14"/>
        <v>7525</v>
      </c>
      <c r="M163">
        <v>0</v>
      </c>
      <c r="N163" s="31">
        <f t="shared" si="17"/>
        <v>0</v>
      </c>
      <c r="O163" s="34">
        <v>10</v>
      </c>
      <c r="P163" s="35">
        <v>752.5</v>
      </c>
      <c r="Q163" s="36">
        <v>7525</v>
      </c>
      <c r="R163" s="37">
        <f t="shared" si="18"/>
        <v>7525</v>
      </c>
    </row>
    <row r="164" spans="1:18" s="1" customFormat="1" ht="15" x14ac:dyDescent="0.25">
      <c r="A164" s="27" t="s">
        <v>25</v>
      </c>
      <c r="B164" s="28" t="s">
        <v>197</v>
      </c>
      <c r="C164" s="29" t="s">
        <v>204</v>
      </c>
      <c r="D164" s="30">
        <v>20918.881999999983</v>
      </c>
      <c r="E164" s="38">
        <f t="shared" si="19"/>
        <v>43419.159699999997</v>
      </c>
      <c r="F164" s="32">
        <f>46.60767*P164</f>
        <v>41299.303407650994</v>
      </c>
      <c r="G164" s="32">
        <f t="shared" si="15"/>
        <v>23038.738292348986</v>
      </c>
      <c r="H164" s="33">
        <f t="shared" si="16"/>
        <v>4.9234898688155226E-4</v>
      </c>
      <c r="I164" t="s">
        <v>204</v>
      </c>
      <c r="J164" t="s">
        <v>76</v>
      </c>
      <c r="K164">
        <v>49</v>
      </c>
      <c r="L164" s="31">
        <f t="shared" si="14"/>
        <v>43419.159699999997</v>
      </c>
      <c r="M164">
        <v>23</v>
      </c>
      <c r="N164" s="31">
        <f t="shared" si="17"/>
        <v>20380.421899999998</v>
      </c>
      <c r="O164" s="34">
        <v>26</v>
      </c>
      <c r="P164" s="35">
        <v>886.10529999999994</v>
      </c>
      <c r="Q164" s="36">
        <v>23038.737799999999</v>
      </c>
      <c r="R164" s="37">
        <f t="shared" si="18"/>
        <v>23038.737799999999</v>
      </c>
    </row>
    <row r="165" spans="1:18" s="1" customFormat="1" ht="15" x14ac:dyDescent="0.25">
      <c r="A165" s="27" t="s">
        <v>25</v>
      </c>
      <c r="B165" s="28" t="s">
        <v>47</v>
      </c>
      <c r="C165" s="29" t="s">
        <v>205</v>
      </c>
      <c r="D165" s="30">
        <v>39453.923199999961</v>
      </c>
      <c r="E165" s="38">
        <f t="shared" si="19"/>
        <v>164049.9216</v>
      </c>
      <c r="F165" s="32">
        <f>373.33877*P165</f>
        <v>139831.497599864</v>
      </c>
      <c r="G165" s="32">
        <f t="shared" si="15"/>
        <v>63672.347200135962</v>
      </c>
      <c r="H165" s="33">
        <f t="shared" si="16"/>
        <v>3.2001359577407129E-3</v>
      </c>
      <c r="I165" t="s">
        <v>205</v>
      </c>
      <c r="J165" t="s">
        <v>201</v>
      </c>
      <c r="K165">
        <v>438</v>
      </c>
      <c r="L165" s="31">
        <f t="shared" si="14"/>
        <v>164049.9216</v>
      </c>
      <c r="M165">
        <v>268</v>
      </c>
      <c r="N165" s="31">
        <f t="shared" si="17"/>
        <v>100377.5776</v>
      </c>
      <c r="O165" s="34">
        <v>170</v>
      </c>
      <c r="P165" s="35">
        <v>374.54320000000001</v>
      </c>
      <c r="Q165" s="36">
        <v>63672.344000000005</v>
      </c>
      <c r="R165" s="37">
        <f t="shared" si="18"/>
        <v>63672.343999999997</v>
      </c>
    </row>
    <row r="166" spans="1:18" s="1" customFormat="1" ht="15" x14ac:dyDescent="0.25">
      <c r="A166" s="27" t="s">
        <v>25</v>
      </c>
      <c r="B166" s="28" t="s">
        <v>45</v>
      </c>
      <c r="C166" s="29" t="s">
        <v>206</v>
      </c>
      <c r="D166" s="30">
        <v>722.88419999999996</v>
      </c>
      <c r="E166" s="38">
        <f t="shared" si="19"/>
        <v>6386.8991999999989</v>
      </c>
      <c r="F166" s="32">
        <f>9.62183*P166</f>
        <v>1920.4268227979994</v>
      </c>
      <c r="G166" s="32">
        <f t="shared" si="15"/>
        <v>5189.3565772019992</v>
      </c>
      <c r="H166" s="33">
        <f t="shared" si="16"/>
        <v>9.7720200028561521E-4</v>
      </c>
      <c r="I166" t="s">
        <v>206</v>
      </c>
      <c r="J166" t="s">
        <v>28</v>
      </c>
      <c r="K166">
        <v>32</v>
      </c>
      <c r="L166" s="31">
        <f t="shared" si="14"/>
        <v>6386.8991999999989</v>
      </c>
      <c r="M166">
        <v>6</v>
      </c>
      <c r="N166" s="31">
        <f t="shared" si="17"/>
        <v>1197.5435999999997</v>
      </c>
      <c r="O166" s="34">
        <v>26</v>
      </c>
      <c r="P166" s="35">
        <v>199.59059999999997</v>
      </c>
      <c r="Q166" s="36">
        <v>5189.355599999999</v>
      </c>
      <c r="R166" s="37">
        <f t="shared" si="18"/>
        <v>5189.355599999999</v>
      </c>
    </row>
    <row r="167" spans="1:18" s="1" customFormat="1" ht="15" x14ac:dyDescent="0.25">
      <c r="A167" s="27" t="s">
        <v>25</v>
      </c>
      <c r="B167" s="28" t="s">
        <v>45</v>
      </c>
      <c r="C167" s="29" t="s">
        <v>207</v>
      </c>
      <c r="D167" s="30">
        <v>552.99600000000009</v>
      </c>
      <c r="E167" s="38">
        <f t="shared" si="19"/>
        <v>552.97410000000002</v>
      </c>
      <c r="F167" s="32">
        <f>13.0003*P167</f>
        <v>1026.9755988899999</v>
      </c>
      <c r="G167" s="32">
        <f t="shared" si="15"/>
        <v>78.994501110000101</v>
      </c>
      <c r="H167" s="33">
        <f t="shared" si="16"/>
        <v>-1.7988899999039631E-3</v>
      </c>
      <c r="I167" t="s">
        <v>207</v>
      </c>
      <c r="J167" t="s">
        <v>28</v>
      </c>
      <c r="K167">
        <v>7</v>
      </c>
      <c r="L167" s="31">
        <f t="shared" si="14"/>
        <v>552.97410000000002</v>
      </c>
      <c r="M167">
        <v>6</v>
      </c>
      <c r="N167" s="31">
        <f t="shared" si="17"/>
        <v>473.9778</v>
      </c>
      <c r="O167" s="34">
        <v>1</v>
      </c>
      <c r="P167" s="35">
        <v>78.996300000000005</v>
      </c>
      <c r="Q167" s="36">
        <v>78.996300000000005</v>
      </c>
      <c r="R167" s="37">
        <f t="shared" si="18"/>
        <v>78.996300000000019</v>
      </c>
    </row>
    <row r="168" spans="1:18" s="1" customFormat="1" ht="15" x14ac:dyDescent="0.25">
      <c r="A168" s="27" t="s">
        <v>25</v>
      </c>
      <c r="B168" s="28" t="s">
        <v>45</v>
      </c>
      <c r="C168" s="29" t="s">
        <v>208</v>
      </c>
      <c r="D168" s="30">
        <v>197.28399999999965</v>
      </c>
      <c r="E168" s="38">
        <f t="shared" si="19"/>
        <v>197.28870000000001</v>
      </c>
      <c r="F168" s="32">
        <f>6*P168</f>
        <v>394.57740000000001</v>
      </c>
      <c r="G168" s="32">
        <f t="shared" si="15"/>
        <v>-4.7000000003549758E-3</v>
      </c>
      <c r="H168" s="33">
        <f t="shared" si="16"/>
        <v>-4.7000000003549758E-3</v>
      </c>
      <c r="I168" t="s">
        <v>208</v>
      </c>
      <c r="J168" t="s">
        <v>28</v>
      </c>
      <c r="K168">
        <v>3</v>
      </c>
      <c r="L168" s="31">
        <f t="shared" si="14"/>
        <v>197.28870000000001</v>
      </c>
      <c r="M168">
        <v>3</v>
      </c>
      <c r="N168" s="31">
        <f t="shared" si="17"/>
        <v>197.28870000000001</v>
      </c>
      <c r="O168" s="34">
        <v>0</v>
      </c>
      <c r="P168" s="35">
        <v>65.762900000000002</v>
      </c>
      <c r="Q168" s="36">
        <v>0</v>
      </c>
      <c r="R168" s="37">
        <f t="shared" si="18"/>
        <v>0</v>
      </c>
    </row>
    <row r="169" spans="1:18" s="1" customFormat="1" ht="15" x14ac:dyDescent="0.25">
      <c r="A169" s="27" t="s">
        <v>25</v>
      </c>
      <c r="B169" s="28" t="s">
        <v>45</v>
      </c>
      <c r="C169" s="29" t="s">
        <v>209</v>
      </c>
      <c r="D169" s="30">
        <v>1472.0400000000018</v>
      </c>
      <c r="E169" s="38">
        <f t="shared" si="19"/>
        <v>4912.0499999999993</v>
      </c>
      <c r="F169" s="32">
        <f>1.79808*P169</f>
        <v>1472.0431439999998</v>
      </c>
      <c r="G169" s="32">
        <f t="shared" si="15"/>
        <v>4912.0468560000008</v>
      </c>
      <c r="H169" s="33">
        <f t="shared" si="16"/>
        <v>-3.1439999993381207E-3</v>
      </c>
      <c r="I169" t="s">
        <v>209</v>
      </c>
      <c r="J169" t="s">
        <v>127</v>
      </c>
      <c r="K169">
        <v>6</v>
      </c>
      <c r="L169" s="31">
        <f t="shared" si="14"/>
        <v>4912.0499999999993</v>
      </c>
      <c r="M169">
        <v>0</v>
      </c>
      <c r="N169" s="31">
        <f t="shared" si="17"/>
        <v>0</v>
      </c>
      <c r="O169" s="34">
        <v>6</v>
      </c>
      <c r="P169" s="35">
        <v>818.67499999999995</v>
      </c>
      <c r="Q169" s="36">
        <v>4912.05</v>
      </c>
      <c r="R169" s="37">
        <f t="shared" si="18"/>
        <v>4912.0499999999993</v>
      </c>
    </row>
    <row r="170" spans="1:18" s="1" customFormat="1" ht="15" x14ac:dyDescent="0.25">
      <c r="A170" s="27" t="s">
        <v>25</v>
      </c>
      <c r="B170" s="28" t="s">
        <v>45</v>
      </c>
      <c r="C170" s="29" t="s">
        <v>210</v>
      </c>
      <c r="D170" s="30">
        <v>4506.1821999999993</v>
      </c>
      <c r="E170" s="38">
        <f t="shared" si="19"/>
        <v>4506.1478000000006</v>
      </c>
      <c r="F170" s="32">
        <f>14.0001*P170</f>
        <v>4506.1799867700001</v>
      </c>
      <c r="G170" s="32">
        <f t="shared" si="15"/>
        <v>4506.1500132299998</v>
      </c>
      <c r="H170" s="33">
        <f t="shared" si="16"/>
        <v>2.2132299991426407E-3</v>
      </c>
      <c r="I170" t="s">
        <v>210</v>
      </c>
      <c r="J170" t="s">
        <v>127</v>
      </c>
      <c r="K170">
        <v>14</v>
      </c>
      <c r="L170" s="31">
        <f t="shared" si="14"/>
        <v>4506.1478000000006</v>
      </c>
      <c r="M170">
        <v>0</v>
      </c>
      <c r="N170" s="31">
        <f t="shared" si="17"/>
        <v>0</v>
      </c>
      <c r="O170" s="34">
        <v>14</v>
      </c>
      <c r="P170" s="35">
        <v>321.86770000000001</v>
      </c>
      <c r="Q170" s="36">
        <v>4506.1478000000006</v>
      </c>
      <c r="R170" s="37">
        <f t="shared" si="18"/>
        <v>4506.1478000000006</v>
      </c>
    </row>
    <row r="171" spans="1:18" s="1" customFormat="1" ht="15" x14ac:dyDescent="0.25">
      <c r="A171" s="27" t="s">
        <v>25</v>
      </c>
      <c r="B171" s="28" t="s">
        <v>45</v>
      </c>
      <c r="C171" s="29" t="s">
        <v>211</v>
      </c>
      <c r="D171" s="30">
        <v>1574.5900000000001</v>
      </c>
      <c r="E171" s="38">
        <f t="shared" si="19"/>
        <v>1574.5905</v>
      </c>
      <c r="F171" s="32">
        <f>10*P171</f>
        <v>1749.5450000000001</v>
      </c>
      <c r="G171" s="32">
        <f t="shared" si="15"/>
        <v>1399.6355000000003</v>
      </c>
      <c r="H171" s="33">
        <f t="shared" si="16"/>
        <v>-4.9999999964711606E-4</v>
      </c>
      <c r="I171" t="s">
        <v>211</v>
      </c>
      <c r="J171" t="s">
        <v>28</v>
      </c>
      <c r="K171">
        <v>9</v>
      </c>
      <c r="L171" s="31">
        <f t="shared" si="14"/>
        <v>1574.5905</v>
      </c>
      <c r="M171">
        <v>1</v>
      </c>
      <c r="N171" s="31">
        <f t="shared" si="17"/>
        <v>174.9545</v>
      </c>
      <c r="O171" s="34">
        <v>8</v>
      </c>
      <c r="P171" s="35">
        <v>174.9545</v>
      </c>
      <c r="Q171" s="36">
        <v>1399.636</v>
      </c>
      <c r="R171" s="37">
        <f t="shared" si="18"/>
        <v>1399.636</v>
      </c>
    </row>
    <row r="172" spans="1:18" s="1" customFormat="1" ht="15" x14ac:dyDescent="0.25">
      <c r="A172" s="27" t="s">
        <v>25</v>
      </c>
      <c r="B172" s="28" t="s">
        <v>29</v>
      </c>
      <c r="C172" s="29" t="s">
        <v>212</v>
      </c>
      <c r="D172" s="30">
        <v>5527.7999999999993</v>
      </c>
      <c r="E172" s="38">
        <f t="shared" si="19"/>
        <v>5527.7999999999993</v>
      </c>
      <c r="F172" s="32">
        <f>16*P172</f>
        <v>7370.4</v>
      </c>
      <c r="G172" s="32">
        <f t="shared" si="15"/>
        <v>3685.1999999999989</v>
      </c>
      <c r="H172" s="33">
        <f t="shared" si="16"/>
        <v>0</v>
      </c>
      <c r="I172" t="s">
        <v>212</v>
      </c>
      <c r="J172" t="s">
        <v>28</v>
      </c>
      <c r="K172">
        <v>12</v>
      </c>
      <c r="L172" s="31">
        <f t="shared" si="14"/>
        <v>5527.7999999999993</v>
      </c>
      <c r="M172">
        <v>4</v>
      </c>
      <c r="N172" s="31">
        <f t="shared" si="17"/>
        <v>1842.6</v>
      </c>
      <c r="O172" s="34">
        <v>8</v>
      </c>
      <c r="P172" s="35">
        <v>460.65</v>
      </c>
      <c r="Q172" s="36">
        <v>3685.2</v>
      </c>
      <c r="R172" s="37">
        <f t="shared" si="18"/>
        <v>3685.1999999999994</v>
      </c>
    </row>
    <row r="173" spans="1:18" s="1" customFormat="1" ht="15" x14ac:dyDescent="0.25">
      <c r="A173" s="27" t="s">
        <v>25</v>
      </c>
      <c r="B173" s="28" t="s">
        <v>110</v>
      </c>
      <c r="C173" s="29" t="s">
        <v>213</v>
      </c>
      <c r="D173" s="30">
        <v>4781.0394000000015</v>
      </c>
      <c r="E173" s="38">
        <f t="shared" si="19"/>
        <v>15401.01</v>
      </c>
      <c r="F173" s="32">
        <f>9.72524*P173</f>
        <v>12481.543207699999</v>
      </c>
      <c r="G173" s="32">
        <f t="shared" si="15"/>
        <v>7700.5061923000048</v>
      </c>
      <c r="H173" s="33">
        <f t="shared" si="16"/>
        <v>1.1923000047318055E-3</v>
      </c>
      <c r="I173" t="s">
        <v>213</v>
      </c>
      <c r="J173" t="s">
        <v>214</v>
      </c>
      <c r="K173">
        <v>12</v>
      </c>
      <c r="L173" s="31">
        <f t="shared" si="14"/>
        <v>15401.01</v>
      </c>
      <c r="M173">
        <v>6</v>
      </c>
      <c r="N173" s="31">
        <f t="shared" si="17"/>
        <v>7700.5050000000001</v>
      </c>
      <c r="O173" s="34">
        <v>6</v>
      </c>
      <c r="P173" s="35">
        <v>1283.4175</v>
      </c>
      <c r="Q173" s="36">
        <v>7700.5050000000001</v>
      </c>
      <c r="R173" s="37">
        <f t="shared" si="18"/>
        <v>7700.5050000000001</v>
      </c>
    </row>
    <row r="174" spans="1:18" s="1" customFormat="1" ht="15" x14ac:dyDescent="0.25">
      <c r="A174" s="27" t="s">
        <v>25</v>
      </c>
      <c r="B174" s="28" t="s">
        <v>45</v>
      </c>
      <c r="C174" s="29" t="s">
        <v>215</v>
      </c>
      <c r="D174" s="30">
        <v>1554.6047999999992</v>
      </c>
      <c r="E174" s="38">
        <f t="shared" si="19"/>
        <v>5802.5430000000006</v>
      </c>
      <c r="F174" s="32">
        <f>45.1126*P174</f>
        <v>2908.5311260200001</v>
      </c>
      <c r="G174" s="32">
        <f t="shared" si="15"/>
        <v>4448.6166739799992</v>
      </c>
      <c r="H174" s="33">
        <f t="shared" si="16"/>
        <v>3.7397999949462246E-4</v>
      </c>
      <c r="I174" t="s">
        <v>215</v>
      </c>
      <c r="J174" t="s">
        <v>214</v>
      </c>
      <c r="K174">
        <v>90</v>
      </c>
      <c r="L174" s="31">
        <f t="shared" si="14"/>
        <v>5802.5430000000006</v>
      </c>
      <c r="M174">
        <v>21</v>
      </c>
      <c r="N174" s="31">
        <f t="shared" si="17"/>
        <v>1353.9267</v>
      </c>
      <c r="O174" s="34">
        <v>69</v>
      </c>
      <c r="P174" s="35">
        <v>64.472700000000003</v>
      </c>
      <c r="Q174" s="36">
        <v>4448.6162999999997</v>
      </c>
      <c r="R174" s="37">
        <f t="shared" si="18"/>
        <v>4448.6163000000006</v>
      </c>
    </row>
    <row r="175" spans="1:18" s="1" customFormat="1" ht="15" x14ac:dyDescent="0.25">
      <c r="A175" s="27" t="s">
        <v>25</v>
      </c>
      <c r="B175" s="28" t="s">
        <v>45</v>
      </c>
      <c r="C175" s="29" t="s">
        <v>216</v>
      </c>
      <c r="D175" s="30">
        <v>2046.7220000000002</v>
      </c>
      <c r="E175" s="38">
        <f t="shared" si="19"/>
        <v>2046.6108000000002</v>
      </c>
      <c r="F175" s="32">
        <f>78.0041*P175</f>
        <v>2046.71837826</v>
      </c>
      <c r="G175" s="32">
        <f t="shared" si="15"/>
        <v>2046.6144217400001</v>
      </c>
      <c r="H175" s="33">
        <f t="shared" si="16"/>
        <v>3.6217400001987698E-3</v>
      </c>
      <c r="I175" t="s">
        <v>216</v>
      </c>
      <c r="J175" t="s">
        <v>28</v>
      </c>
      <c r="K175">
        <v>78</v>
      </c>
      <c r="L175" s="31">
        <f t="shared" si="14"/>
        <v>2046.6108000000002</v>
      </c>
      <c r="M175">
        <v>0</v>
      </c>
      <c r="N175" s="31">
        <f t="shared" si="17"/>
        <v>0</v>
      </c>
      <c r="O175" s="34">
        <v>78</v>
      </c>
      <c r="P175" s="35">
        <v>26.238600000000002</v>
      </c>
      <c r="Q175" s="36">
        <v>2046.6107999999999</v>
      </c>
      <c r="R175" s="37">
        <f t="shared" si="18"/>
        <v>2046.6108000000002</v>
      </c>
    </row>
    <row r="176" spans="1:18" s="1" customFormat="1" ht="15" x14ac:dyDescent="0.25">
      <c r="A176" s="27" t="s">
        <v>25</v>
      </c>
      <c r="B176" s="28" t="s">
        <v>45</v>
      </c>
      <c r="C176" s="29" t="s">
        <v>217</v>
      </c>
      <c r="D176" s="30">
        <v>1776.1238999999987</v>
      </c>
      <c r="E176" s="38">
        <f t="shared" si="19"/>
        <v>1775.9793999999999</v>
      </c>
      <c r="F176" s="32">
        <f>38.003*P176</f>
        <v>1776.1196089</v>
      </c>
      <c r="G176" s="32">
        <f t="shared" si="15"/>
        <v>1775.9836910999989</v>
      </c>
      <c r="H176" s="33">
        <f t="shared" si="16"/>
        <v>4.291099998908976E-3</v>
      </c>
      <c r="I176" t="s">
        <v>217</v>
      </c>
      <c r="J176" t="s">
        <v>28</v>
      </c>
      <c r="K176">
        <v>38</v>
      </c>
      <c r="L176" s="31">
        <f t="shared" si="14"/>
        <v>1775.9793999999999</v>
      </c>
      <c r="M176">
        <v>0</v>
      </c>
      <c r="N176" s="31">
        <f t="shared" si="17"/>
        <v>0</v>
      </c>
      <c r="O176" s="34">
        <v>38</v>
      </c>
      <c r="P176" s="35">
        <v>46.7363</v>
      </c>
      <c r="Q176" s="36">
        <v>1775.9793999999999</v>
      </c>
      <c r="R176" s="37">
        <f t="shared" si="18"/>
        <v>1775.9793999999999</v>
      </c>
    </row>
    <row r="177" spans="1:18" s="1" customFormat="1" ht="15" x14ac:dyDescent="0.25">
      <c r="A177" s="27" t="s">
        <v>25</v>
      </c>
      <c r="B177" s="28" t="s">
        <v>45</v>
      </c>
      <c r="C177" s="29" t="s">
        <v>218</v>
      </c>
      <c r="D177" s="30">
        <v>1072.955100000001</v>
      </c>
      <c r="E177" s="38">
        <f t="shared" si="19"/>
        <v>1072.8255999999999</v>
      </c>
      <c r="F177" s="32">
        <f>112.007*P177</f>
        <v>2145.7853031999998</v>
      </c>
      <c r="G177" s="32">
        <f t="shared" si="15"/>
        <v>-4.6031999986553274E-3</v>
      </c>
      <c r="H177" s="33">
        <f t="shared" si="16"/>
        <v>-4.6031999986553274E-3</v>
      </c>
      <c r="I177" t="s">
        <v>218</v>
      </c>
      <c r="J177" t="s">
        <v>28</v>
      </c>
      <c r="K177">
        <v>56</v>
      </c>
      <c r="L177" s="31">
        <f t="shared" si="14"/>
        <v>1072.8255999999999</v>
      </c>
      <c r="M177">
        <v>56</v>
      </c>
      <c r="N177" s="31">
        <f t="shared" si="17"/>
        <v>1072.8255999999999</v>
      </c>
      <c r="O177" s="34">
        <v>0</v>
      </c>
      <c r="P177" s="35">
        <v>19.157599999999999</v>
      </c>
      <c r="Q177" s="36">
        <v>0</v>
      </c>
      <c r="R177" s="37">
        <f t="shared" si="18"/>
        <v>0</v>
      </c>
    </row>
    <row r="178" spans="1:18" s="1" customFormat="1" ht="15" x14ac:dyDescent="0.25">
      <c r="A178" s="27" t="s">
        <v>25</v>
      </c>
      <c r="B178" s="28" t="s">
        <v>45</v>
      </c>
      <c r="C178" s="29" t="s">
        <v>219</v>
      </c>
      <c r="D178" s="30">
        <v>3531.4184999999998</v>
      </c>
      <c r="E178" s="38">
        <f t="shared" si="19"/>
        <v>3531.3786000000005</v>
      </c>
      <c r="F178" s="32">
        <f>76.00069*P178</f>
        <v>3889.669713786001</v>
      </c>
      <c r="G178" s="32">
        <f t="shared" si="15"/>
        <v>3173.1273862139988</v>
      </c>
      <c r="H178" s="33">
        <f t="shared" si="16"/>
        <v>4.5862139986638795E-3</v>
      </c>
      <c r="I178" t="s">
        <v>219</v>
      </c>
      <c r="J178" t="s">
        <v>28</v>
      </c>
      <c r="K178">
        <v>69</v>
      </c>
      <c r="L178" s="31">
        <f t="shared" si="14"/>
        <v>3531.3786000000005</v>
      </c>
      <c r="M178">
        <v>7</v>
      </c>
      <c r="N178" s="31">
        <f t="shared" si="17"/>
        <v>358.25580000000008</v>
      </c>
      <c r="O178" s="34">
        <v>62</v>
      </c>
      <c r="P178" s="35">
        <v>51.179400000000008</v>
      </c>
      <c r="Q178" s="36">
        <v>3173.1228000000001</v>
      </c>
      <c r="R178" s="37">
        <f t="shared" si="18"/>
        <v>3173.1228000000006</v>
      </c>
    </row>
    <row r="179" spans="1:18" s="1" customFormat="1" ht="15" x14ac:dyDescent="0.25">
      <c r="A179" s="27" t="s">
        <v>25</v>
      </c>
      <c r="B179" s="28" t="s">
        <v>45</v>
      </c>
      <c r="C179" s="29" t="s">
        <v>220</v>
      </c>
      <c r="D179" s="30">
        <v>535.26</v>
      </c>
      <c r="E179" s="38">
        <f t="shared" si="19"/>
        <v>740.27</v>
      </c>
      <c r="F179" s="32">
        <f>4.89224*P179</f>
        <v>905.39462619999995</v>
      </c>
      <c r="G179" s="32">
        <f t="shared" si="15"/>
        <v>370.13537380000002</v>
      </c>
      <c r="H179" s="33">
        <f t="shared" si="16"/>
        <v>3.7380000003395253E-4</v>
      </c>
      <c r="I179" t="s">
        <v>220</v>
      </c>
      <c r="J179"/>
      <c r="K179">
        <v>4</v>
      </c>
      <c r="L179" s="31">
        <f t="shared" si="14"/>
        <v>740.27</v>
      </c>
      <c r="M179">
        <v>2</v>
      </c>
      <c r="N179" s="31">
        <f t="shared" si="17"/>
        <v>370.13499999999999</v>
      </c>
      <c r="O179" s="34">
        <v>2</v>
      </c>
      <c r="P179" s="35">
        <v>185.0675</v>
      </c>
      <c r="Q179" s="36">
        <v>370.13499999999999</v>
      </c>
      <c r="R179" s="37">
        <f t="shared" si="18"/>
        <v>370.13499999999999</v>
      </c>
    </row>
    <row r="180" spans="1:18" s="1" customFormat="1" ht="15" x14ac:dyDescent="0.25">
      <c r="A180" s="27" t="s">
        <v>25</v>
      </c>
      <c r="B180" s="28" t="s">
        <v>47</v>
      </c>
      <c r="C180" s="29" t="s">
        <v>221</v>
      </c>
      <c r="D180" s="30">
        <v>3480</v>
      </c>
      <c r="E180" s="38">
        <f t="shared" si="19"/>
        <v>3480</v>
      </c>
      <c r="F180" s="32">
        <f>20*P180</f>
        <v>3480</v>
      </c>
      <c r="G180" s="32">
        <f t="shared" si="15"/>
        <v>3480</v>
      </c>
      <c r="H180" s="33">
        <f t="shared" si="16"/>
        <v>0</v>
      </c>
      <c r="I180" t="s">
        <v>221</v>
      </c>
      <c r="J180" t="s">
        <v>222</v>
      </c>
      <c r="K180">
        <v>20</v>
      </c>
      <c r="L180" s="31">
        <f t="shared" si="14"/>
        <v>3480</v>
      </c>
      <c r="M180">
        <v>0</v>
      </c>
      <c r="N180" s="31">
        <f t="shared" si="17"/>
        <v>0</v>
      </c>
      <c r="O180" s="34">
        <v>20</v>
      </c>
      <c r="P180" s="35">
        <v>174</v>
      </c>
      <c r="Q180" s="36">
        <v>3480</v>
      </c>
      <c r="R180" s="37">
        <f t="shared" si="18"/>
        <v>3480</v>
      </c>
    </row>
    <row r="181" spans="1:18" s="1" customFormat="1" ht="15" x14ac:dyDescent="0.25">
      <c r="A181" s="27" t="s">
        <v>25</v>
      </c>
      <c r="B181" s="28" t="s">
        <v>47</v>
      </c>
      <c r="C181" s="29" t="s">
        <v>223</v>
      </c>
      <c r="D181" s="30">
        <v>5536.7235999999994</v>
      </c>
      <c r="E181" s="38">
        <f t="shared" si="19"/>
        <v>5536.7564000000002</v>
      </c>
      <c r="F181" s="32">
        <f>27.99981*P181</f>
        <v>5536.718829153001</v>
      </c>
      <c r="G181" s="32">
        <f t="shared" si="15"/>
        <v>5536.7611708469985</v>
      </c>
      <c r="H181" s="33">
        <f t="shared" si="16"/>
        <v>4.7708469983263058E-3</v>
      </c>
      <c r="I181" t="s">
        <v>223</v>
      </c>
      <c r="J181" t="s">
        <v>105</v>
      </c>
      <c r="K181">
        <v>28</v>
      </c>
      <c r="L181" s="31">
        <f t="shared" si="14"/>
        <v>5536.7564000000002</v>
      </c>
      <c r="M181">
        <v>0</v>
      </c>
      <c r="N181" s="31">
        <f t="shared" si="17"/>
        <v>0</v>
      </c>
      <c r="O181" s="34">
        <v>28</v>
      </c>
      <c r="P181" s="35">
        <v>197.74130000000002</v>
      </c>
      <c r="Q181" s="36">
        <v>5536.7564000000002</v>
      </c>
      <c r="R181" s="37">
        <f t="shared" si="18"/>
        <v>5536.7564000000002</v>
      </c>
    </row>
    <row r="182" spans="1:18" s="1" customFormat="1" ht="15" x14ac:dyDescent="0.25">
      <c r="A182" s="27" t="s">
        <v>25</v>
      </c>
      <c r="B182" s="28" t="s">
        <v>29</v>
      </c>
      <c r="C182" s="29" t="s">
        <v>224</v>
      </c>
      <c r="D182" s="30">
        <v>2549.1541999999999</v>
      </c>
      <c r="E182" s="38">
        <f t="shared" si="19"/>
        <v>2549.1313</v>
      </c>
      <c r="F182" s="32">
        <f>19.00015*P182</f>
        <v>2849.0515923350004</v>
      </c>
      <c r="G182" s="32">
        <f t="shared" si="15"/>
        <v>2249.2339076649996</v>
      </c>
      <c r="H182" s="33">
        <f t="shared" si="16"/>
        <v>4.0766499932942679E-4</v>
      </c>
      <c r="I182" t="s">
        <v>224</v>
      </c>
      <c r="J182" t="s">
        <v>59</v>
      </c>
      <c r="K182">
        <v>17</v>
      </c>
      <c r="L182" s="31">
        <f t="shared" si="14"/>
        <v>2549.1313</v>
      </c>
      <c r="M182">
        <v>2</v>
      </c>
      <c r="N182" s="31">
        <f t="shared" si="17"/>
        <v>299.89780000000002</v>
      </c>
      <c r="O182" s="34">
        <v>15</v>
      </c>
      <c r="P182" s="35">
        <v>149.94890000000001</v>
      </c>
      <c r="Q182" s="36">
        <v>2249.2335000000003</v>
      </c>
      <c r="R182" s="37">
        <f t="shared" si="18"/>
        <v>2249.2334999999998</v>
      </c>
    </row>
    <row r="183" spans="1:18" s="1" customFormat="1" ht="15" x14ac:dyDescent="0.25">
      <c r="A183" s="27" t="s">
        <v>25</v>
      </c>
      <c r="B183" s="28" t="s">
        <v>29</v>
      </c>
      <c r="C183" s="29" t="s">
        <v>225</v>
      </c>
      <c r="D183" s="30">
        <v>826</v>
      </c>
      <c r="E183" s="38">
        <f t="shared" si="19"/>
        <v>826</v>
      </c>
      <c r="F183" s="32">
        <f>2*P183</f>
        <v>826</v>
      </c>
      <c r="G183" s="32">
        <f t="shared" si="15"/>
        <v>826</v>
      </c>
      <c r="H183" s="33">
        <f t="shared" si="16"/>
        <v>0</v>
      </c>
      <c r="I183" t="s">
        <v>225</v>
      </c>
      <c r="J183" t="s">
        <v>28</v>
      </c>
      <c r="K183">
        <v>2</v>
      </c>
      <c r="L183" s="31">
        <f t="shared" si="14"/>
        <v>826</v>
      </c>
      <c r="M183">
        <v>0</v>
      </c>
      <c r="N183" s="31">
        <f t="shared" si="17"/>
        <v>0</v>
      </c>
      <c r="O183" s="34">
        <v>2</v>
      </c>
      <c r="P183" s="35">
        <v>413</v>
      </c>
      <c r="Q183" s="36">
        <v>826</v>
      </c>
      <c r="R183" s="37">
        <f t="shared" si="18"/>
        <v>826</v>
      </c>
    </row>
    <row r="184" spans="1:18" s="1" customFormat="1" ht="15" x14ac:dyDescent="0.25">
      <c r="A184" s="27" t="s">
        <v>25</v>
      </c>
      <c r="B184" s="28" t="s">
        <v>45</v>
      </c>
      <c r="C184" s="29" t="s">
        <v>226</v>
      </c>
      <c r="D184" s="30">
        <v>113.68079999999998</v>
      </c>
      <c r="E184" s="38">
        <f t="shared" si="19"/>
        <v>120.31049999999999</v>
      </c>
      <c r="F184" s="32">
        <f>17.173*P184</f>
        <v>137.73948109999998</v>
      </c>
      <c r="G184" s="32">
        <f t="shared" si="15"/>
        <v>96.251818899999989</v>
      </c>
      <c r="H184" s="33">
        <f t="shared" si="16"/>
        <v>3.4188999999997804E-3</v>
      </c>
      <c r="I184" t="s">
        <v>226</v>
      </c>
      <c r="J184" t="s">
        <v>28</v>
      </c>
      <c r="K184">
        <v>15</v>
      </c>
      <c r="L184" s="31">
        <f t="shared" si="14"/>
        <v>120.31049999999999</v>
      </c>
      <c r="M184">
        <v>3</v>
      </c>
      <c r="N184" s="31">
        <f t="shared" si="17"/>
        <v>24.062100000000001</v>
      </c>
      <c r="O184" s="34">
        <v>12</v>
      </c>
      <c r="P184" s="35">
        <v>8.0206999999999997</v>
      </c>
      <c r="Q184" s="36">
        <v>96.24839999999999</v>
      </c>
      <c r="R184" s="37">
        <f t="shared" si="18"/>
        <v>96.24839999999999</v>
      </c>
    </row>
    <row r="185" spans="1:18" s="1" customFormat="1" ht="15" x14ac:dyDescent="0.25">
      <c r="A185" s="27" t="s">
        <v>25</v>
      </c>
      <c r="B185" s="28" t="s">
        <v>45</v>
      </c>
      <c r="C185" s="29" t="s">
        <v>227</v>
      </c>
      <c r="D185" s="30">
        <v>319.00040000000081</v>
      </c>
      <c r="E185" s="38">
        <f t="shared" si="19"/>
        <v>885.4212</v>
      </c>
      <c r="F185" s="32">
        <f>28.2494*P185</f>
        <v>735.66522492000001</v>
      </c>
      <c r="G185" s="32">
        <f t="shared" si="15"/>
        <v>468.75637508000079</v>
      </c>
      <c r="H185" s="33">
        <f t="shared" si="16"/>
        <v>3.975080000827802E-3</v>
      </c>
      <c r="I185" t="s">
        <v>227</v>
      </c>
      <c r="J185" t="s">
        <v>28</v>
      </c>
      <c r="K185">
        <v>34</v>
      </c>
      <c r="L185" s="31">
        <f t="shared" si="14"/>
        <v>885.4212</v>
      </c>
      <c r="M185">
        <v>16</v>
      </c>
      <c r="N185" s="31">
        <f t="shared" si="17"/>
        <v>416.66879999999998</v>
      </c>
      <c r="O185" s="34">
        <v>18</v>
      </c>
      <c r="P185" s="35">
        <v>26.041799999999999</v>
      </c>
      <c r="Q185" s="36">
        <v>468.75239999999997</v>
      </c>
      <c r="R185" s="37">
        <f t="shared" si="18"/>
        <v>468.75240000000002</v>
      </c>
    </row>
    <row r="186" spans="1:18" s="1" customFormat="1" ht="15" x14ac:dyDescent="0.25">
      <c r="A186" s="27" t="s">
        <v>25</v>
      </c>
      <c r="B186" s="28" t="s">
        <v>45</v>
      </c>
      <c r="C186" s="29" t="s">
        <v>228</v>
      </c>
      <c r="D186" s="30">
        <v>0</v>
      </c>
      <c r="E186" s="38">
        <f t="shared" si="19"/>
        <v>283.20000000000005</v>
      </c>
      <c r="F186" s="32">
        <f>+M186*P186</f>
        <v>141.60000000000002</v>
      </c>
      <c r="G186" s="32">
        <f t="shared" si="15"/>
        <v>141.60000000000002</v>
      </c>
      <c r="H186" s="33">
        <f t="shared" si="16"/>
        <v>0</v>
      </c>
      <c r="I186" t="s">
        <v>228</v>
      </c>
      <c r="J186" t="s">
        <v>28</v>
      </c>
      <c r="K186">
        <v>12</v>
      </c>
      <c r="L186" s="31">
        <f t="shared" si="14"/>
        <v>283.20000000000005</v>
      </c>
      <c r="M186">
        <v>6</v>
      </c>
      <c r="N186" s="31">
        <f t="shared" si="17"/>
        <v>141.60000000000002</v>
      </c>
      <c r="O186" s="34">
        <v>6</v>
      </c>
      <c r="P186" s="35">
        <v>23.6</v>
      </c>
      <c r="Q186" s="36">
        <v>141.6</v>
      </c>
      <c r="R186" s="37">
        <f t="shared" si="18"/>
        <v>141.60000000000002</v>
      </c>
    </row>
    <row r="187" spans="1:18" s="1" customFormat="1" ht="15" x14ac:dyDescent="0.25">
      <c r="A187" s="27" t="s">
        <v>25</v>
      </c>
      <c r="B187" s="28" t="s">
        <v>45</v>
      </c>
      <c r="C187" s="29" t="s">
        <v>229</v>
      </c>
      <c r="D187" s="30">
        <v>264.30039999999985</v>
      </c>
      <c r="E187" s="38">
        <f t="shared" si="19"/>
        <v>264.25350000000003</v>
      </c>
      <c r="F187" s="32">
        <f>24.0025*P187</f>
        <v>422.84964225000004</v>
      </c>
      <c r="G187" s="32">
        <f t="shared" si="15"/>
        <v>105.70425774999984</v>
      </c>
      <c r="H187" s="33">
        <f t="shared" si="16"/>
        <v>2.8577499998476696E-3</v>
      </c>
      <c r="I187" t="s">
        <v>229</v>
      </c>
      <c r="J187" t="s">
        <v>28</v>
      </c>
      <c r="K187">
        <v>15</v>
      </c>
      <c r="L187" s="31">
        <f t="shared" si="14"/>
        <v>264.25350000000003</v>
      </c>
      <c r="M187">
        <v>9</v>
      </c>
      <c r="N187" s="31">
        <f t="shared" si="17"/>
        <v>158.5521</v>
      </c>
      <c r="O187" s="34">
        <v>6</v>
      </c>
      <c r="P187" s="35">
        <v>17.616900000000001</v>
      </c>
      <c r="Q187" s="36">
        <v>105.70139999999999</v>
      </c>
      <c r="R187" s="37">
        <f t="shared" si="18"/>
        <v>105.70140000000004</v>
      </c>
    </row>
    <row r="188" spans="1:18" s="1" customFormat="1" ht="15" x14ac:dyDescent="0.25">
      <c r="A188" s="27" t="s">
        <v>25</v>
      </c>
      <c r="B188" s="28" t="s">
        <v>45</v>
      </c>
      <c r="C188" s="29" t="s">
        <v>230</v>
      </c>
      <c r="D188" s="30">
        <v>865.75849999999946</v>
      </c>
      <c r="E188" s="38">
        <f t="shared" si="19"/>
        <v>865.73479999999995</v>
      </c>
      <c r="F188" s="32">
        <f>34.0007*P188</f>
        <v>1051.2710433700001</v>
      </c>
      <c r="G188" s="32">
        <f t="shared" si="15"/>
        <v>680.22225662999926</v>
      </c>
      <c r="H188" s="33">
        <f t="shared" si="16"/>
        <v>2.0566299991742198E-3</v>
      </c>
      <c r="I188" t="s">
        <v>230</v>
      </c>
      <c r="J188" t="s">
        <v>28</v>
      </c>
      <c r="K188">
        <v>28</v>
      </c>
      <c r="L188" s="31">
        <f t="shared" si="14"/>
        <v>865.73479999999995</v>
      </c>
      <c r="M188">
        <v>6</v>
      </c>
      <c r="N188" s="31">
        <f t="shared" si="17"/>
        <v>185.5146</v>
      </c>
      <c r="O188" s="34">
        <v>22</v>
      </c>
      <c r="P188" s="35">
        <v>30.9191</v>
      </c>
      <c r="Q188" s="36">
        <v>680.22020000000009</v>
      </c>
      <c r="R188" s="37">
        <f t="shared" si="18"/>
        <v>680.22019999999998</v>
      </c>
    </row>
    <row r="189" spans="1:18" s="1" customFormat="1" ht="15" x14ac:dyDescent="0.25">
      <c r="A189" s="27" t="s">
        <v>25</v>
      </c>
      <c r="B189" s="28" t="s">
        <v>45</v>
      </c>
      <c r="C189" s="29" t="s">
        <v>231</v>
      </c>
      <c r="D189" s="30">
        <v>527.79999999999995</v>
      </c>
      <c r="E189" s="38">
        <f t="shared" si="19"/>
        <v>527.80000000000007</v>
      </c>
      <c r="F189" s="32">
        <f>7*P189</f>
        <v>527.80000000000007</v>
      </c>
      <c r="G189" s="32">
        <f t="shared" si="15"/>
        <v>527.79999999999984</v>
      </c>
      <c r="H189" s="33">
        <f t="shared" si="16"/>
        <v>0</v>
      </c>
      <c r="I189" t="s">
        <v>231</v>
      </c>
      <c r="J189" t="s">
        <v>28</v>
      </c>
      <c r="K189">
        <v>7</v>
      </c>
      <c r="L189" s="31">
        <f t="shared" si="14"/>
        <v>527.80000000000007</v>
      </c>
      <c r="M189">
        <v>0</v>
      </c>
      <c r="N189" s="31">
        <f t="shared" si="17"/>
        <v>0</v>
      </c>
      <c r="O189" s="34">
        <v>7</v>
      </c>
      <c r="P189" s="35">
        <v>75.400000000000006</v>
      </c>
      <c r="Q189" s="36">
        <v>527.80000000000007</v>
      </c>
      <c r="R189" s="37">
        <f t="shared" si="18"/>
        <v>527.80000000000007</v>
      </c>
    </row>
    <row r="190" spans="1:18" s="1" customFormat="1" ht="15" x14ac:dyDescent="0.25">
      <c r="A190" s="27" t="s">
        <v>25</v>
      </c>
      <c r="B190" s="28" t="s">
        <v>45</v>
      </c>
      <c r="C190" s="29" t="s">
        <v>232</v>
      </c>
      <c r="D190" s="30">
        <v>14674.644999999997</v>
      </c>
      <c r="E190" s="38">
        <f t="shared" si="19"/>
        <v>14718.732600000001</v>
      </c>
      <c r="F190" s="32">
        <f>309.1433*P190</f>
        <v>15909.781705530002</v>
      </c>
      <c r="G190" s="32">
        <f t="shared" si="15"/>
        <v>13483.595894469998</v>
      </c>
      <c r="H190" s="33">
        <f t="shared" si="16"/>
        <v>1.6944699982559541E-3</v>
      </c>
      <c r="I190" t="s">
        <v>232</v>
      </c>
      <c r="J190" t="s">
        <v>28</v>
      </c>
      <c r="K190">
        <v>286</v>
      </c>
      <c r="L190" s="31">
        <f t="shared" si="14"/>
        <v>14718.732600000001</v>
      </c>
      <c r="M190">
        <v>24</v>
      </c>
      <c r="N190" s="31">
        <f t="shared" si="17"/>
        <v>1235.1384</v>
      </c>
      <c r="O190" s="34">
        <v>262</v>
      </c>
      <c r="P190" s="35">
        <v>51.464100000000002</v>
      </c>
      <c r="Q190" s="36">
        <v>13483.5942</v>
      </c>
      <c r="R190" s="37">
        <f t="shared" si="18"/>
        <v>13483.594200000001</v>
      </c>
    </row>
    <row r="191" spans="1:18" s="1" customFormat="1" ht="15" x14ac:dyDescent="0.25">
      <c r="A191" s="27" t="s">
        <v>25</v>
      </c>
      <c r="B191" s="28" t="s">
        <v>45</v>
      </c>
      <c r="C191" s="29" t="s">
        <v>233</v>
      </c>
      <c r="D191" s="30">
        <v>2466.5566999999992</v>
      </c>
      <c r="E191" s="38">
        <f t="shared" si="19"/>
        <v>2466.0351999999998</v>
      </c>
      <c r="F191" s="32">
        <f>143.027*P191</f>
        <v>2755.5438792999994</v>
      </c>
      <c r="G191" s="32">
        <f t="shared" si="15"/>
        <v>2177.0480207000001</v>
      </c>
      <c r="H191" s="33">
        <f t="shared" si="16"/>
        <v>1.320699999723729E-3</v>
      </c>
      <c r="I191" t="s">
        <v>233</v>
      </c>
      <c r="J191" t="s">
        <v>28</v>
      </c>
      <c r="K191">
        <v>128</v>
      </c>
      <c r="L191" s="31">
        <f t="shared" si="14"/>
        <v>2466.0351999999998</v>
      </c>
      <c r="M191">
        <v>15</v>
      </c>
      <c r="N191" s="31">
        <f t="shared" si="17"/>
        <v>288.98849999999999</v>
      </c>
      <c r="O191" s="34">
        <v>113</v>
      </c>
      <c r="P191" s="35">
        <v>19.265899999999998</v>
      </c>
      <c r="Q191" s="36">
        <v>2177.0467000000003</v>
      </c>
      <c r="R191" s="37">
        <f t="shared" si="18"/>
        <v>2177.0466999999999</v>
      </c>
    </row>
    <row r="192" spans="1:18" s="1" customFormat="1" ht="15" x14ac:dyDescent="0.25">
      <c r="A192" s="27" t="s">
        <v>25</v>
      </c>
      <c r="B192" s="28" t="s">
        <v>45</v>
      </c>
      <c r="C192" s="29" t="s">
        <v>234</v>
      </c>
      <c r="D192" s="30">
        <v>794.02309999999989</v>
      </c>
      <c r="E192" s="38">
        <f t="shared" si="19"/>
        <v>794.09829999999999</v>
      </c>
      <c r="F192" s="32">
        <f>34.9971*P192</f>
        <v>958.31509017000008</v>
      </c>
      <c r="G192" s="32">
        <f t="shared" si="15"/>
        <v>629.80630982999992</v>
      </c>
      <c r="H192" s="33">
        <f t="shared" si="16"/>
        <v>4.2098299999224764E-3</v>
      </c>
      <c r="I192" t="s">
        <v>234</v>
      </c>
      <c r="J192" t="s">
        <v>28</v>
      </c>
      <c r="K192">
        <v>29</v>
      </c>
      <c r="L192" s="31">
        <f t="shared" si="14"/>
        <v>794.09829999999999</v>
      </c>
      <c r="M192">
        <v>6</v>
      </c>
      <c r="N192" s="31">
        <f t="shared" si="17"/>
        <v>164.2962</v>
      </c>
      <c r="O192" s="34">
        <v>23</v>
      </c>
      <c r="P192" s="35">
        <v>27.3827</v>
      </c>
      <c r="Q192" s="36">
        <v>629.8021</v>
      </c>
      <c r="R192" s="37">
        <f t="shared" si="18"/>
        <v>629.8021</v>
      </c>
    </row>
    <row r="193" spans="1:18" s="1" customFormat="1" ht="15" x14ac:dyDescent="0.25">
      <c r="A193" s="27" t="s">
        <v>25</v>
      </c>
      <c r="B193" s="28" t="s">
        <v>45</v>
      </c>
      <c r="C193" s="29" t="s">
        <v>235</v>
      </c>
      <c r="D193" s="30">
        <v>12000</v>
      </c>
      <c r="E193" s="38">
        <f t="shared" si="19"/>
        <v>12000</v>
      </c>
      <c r="F193" s="32">
        <f>12*P193</f>
        <v>12000</v>
      </c>
      <c r="G193" s="32">
        <f t="shared" si="15"/>
        <v>12000</v>
      </c>
      <c r="H193" s="33">
        <f t="shared" si="16"/>
        <v>0</v>
      </c>
      <c r="I193" t="s">
        <v>235</v>
      </c>
      <c r="J193" t="s">
        <v>59</v>
      </c>
      <c r="K193">
        <v>12</v>
      </c>
      <c r="L193" s="31">
        <f t="shared" si="14"/>
        <v>12000</v>
      </c>
      <c r="M193">
        <v>0</v>
      </c>
      <c r="N193" s="31">
        <f t="shared" si="17"/>
        <v>0</v>
      </c>
      <c r="O193" s="34">
        <v>12</v>
      </c>
      <c r="P193" s="35">
        <v>1000</v>
      </c>
      <c r="Q193" s="36">
        <v>12000</v>
      </c>
      <c r="R193" s="37">
        <f t="shared" si="18"/>
        <v>12000</v>
      </c>
    </row>
    <row r="194" spans="1:18" s="1" customFormat="1" ht="15" x14ac:dyDescent="0.25">
      <c r="A194" s="27" t="s">
        <v>25</v>
      </c>
      <c r="B194" s="28" t="s">
        <v>45</v>
      </c>
      <c r="C194" s="29" t="s">
        <v>236</v>
      </c>
      <c r="D194" s="30">
        <v>9425.6999999999935</v>
      </c>
      <c r="E194" s="38">
        <f t="shared" si="19"/>
        <v>9425.643</v>
      </c>
      <c r="F194" s="32">
        <f>16.00009*P194</f>
        <v>10054.075753858</v>
      </c>
      <c r="G194" s="32">
        <f t="shared" si="15"/>
        <v>8797.2672461419934</v>
      </c>
      <c r="H194" s="33">
        <f t="shared" si="16"/>
        <v>4.4614199214265682E-4</v>
      </c>
      <c r="I194" t="s">
        <v>236</v>
      </c>
      <c r="J194" t="s">
        <v>28</v>
      </c>
      <c r="K194">
        <v>15</v>
      </c>
      <c r="L194" s="31">
        <f t="shared" si="14"/>
        <v>9425.643</v>
      </c>
      <c r="M194">
        <v>1</v>
      </c>
      <c r="N194" s="31">
        <f t="shared" si="17"/>
        <v>628.37620000000004</v>
      </c>
      <c r="O194" s="34">
        <v>14</v>
      </c>
      <c r="P194" s="35">
        <v>628.37620000000004</v>
      </c>
      <c r="Q194" s="36">
        <v>8797.2668000000012</v>
      </c>
      <c r="R194" s="37">
        <f t="shared" si="18"/>
        <v>8797.2667999999994</v>
      </c>
    </row>
    <row r="195" spans="1:18" s="1" customFormat="1" ht="15" x14ac:dyDescent="0.25">
      <c r="A195" s="27" t="s">
        <v>25</v>
      </c>
      <c r="B195" s="28" t="s">
        <v>26</v>
      </c>
      <c r="C195" s="29" t="s">
        <v>237</v>
      </c>
      <c r="D195" s="30">
        <v>169.95000000000005</v>
      </c>
      <c r="E195" s="38">
        <f t="shared" si="19"/>
        <v>344.9</v>
      </c>
      <c r="F195" s="32">
        <f>2.9855*P195</f>
        <v>514.84947499999998</v>
      </c>
      <c r="G195" s="32">
        <f t="shared" si="15"/>
        <v>5.2500000003874447E-4</v>
      </c>
      <c r="H195" s="33">
        <f t="shared" si="16"/>
        <v>5.2500000003874447E-4</v>
      </c>
      <c r="I195" t="s">
        <v>237</v>
      </c>
      <c r="J195" t="s">
        <v>238</v>
      </c>
      <c r="K195">
        <v>2</v>
      </c>
      <c r="L195" s="31">
        <f t="shared" si="14"/>
        <v>344.9</v>
      </c>
      <c r="M195">
        <v>2</v>
      </c>
      <c r="N195" s="31">
        <f t="shared" si="17"/>
        <v>344.9</v>
      </c>
      <c r="O195" s="34">
        <v>0</v>
      </c>
      <c r="P195" s="35">
        <v>172.45</v>
      </c>
      <c r="Q195" s="36">
        <v>0</v>
      </c>
      <c r="R195" s="37">
        <f t="shared" si="18"/>
        <v>0</v>
      </c>
    </row>
    <row r="196" spans="1:18" s="1" customFormat="1" ht="15" x14ac:dyDescent="0.25">
      <c r="A196" s="27" t="s">
        <v>25</v>
      </c>
      <c r="B196" s="28" t="s">
        <v>47</v>
      </c>
      <c r="C196" s="29" t="s">
        <v>239</v>
      </c>
      <c r="D196" s="30">
        <v>1570.7940000000003</v>
      </c>
      <c r="E196" s="38">
        <f t="shared" si="19"/>
        <v>1570.7574999999999</v>
      </c>
      <c r="F196" s="32">
        <f>13.0003*P196</f>
        <v>1570.7937482499999</v>
      </c>
      <c r="G196" s="32">
        <f t="shared" si="15"/>
        <v>1570.7577517500006</v>
      </c>
      <c r="H196" s="33">
        <f t="shared" si="16"/>
        <v>2.5175000064336928E-4</v>
      </c>
      <c r="I196" t="s">
        <v>239</v>
      </c>
      <c r="J196" t="s">
        <v>42</v>
      </c>
      <c r="K196">
        <v>13</v>
      </c>
      <c r="L196" s="31">
        <f t="shared" si="14"/>
        <v>1570.7574999999999</v>
      </c>
      <c r="M196">
        <v>0</v>
      </c>
      <c r="N196" s="31">
        <f t="shared" si="17"/>
        <v>0</v>
      </c>
      <c r="O196" s="34">
        <v>13</v>
      </c>
      <c r="P196" s="35">
        <v>120.8275</v>
      </c>
      <c r="Q196" s="36">
        <v>1570.7574999999999</v>
      </c>
      <c r="R196" s="37">
        <f t="shared" si="18"/>
        <v>1570.7574999999999</v>
      </c>
    </row>
    <row r="197" spans="1:18" s="1" customFormat="1" ht="15" x14ac:dyDescent="0.25">
      <c r="A197" s="27" t="s">
        <v>25</v>
      </c>
      <c r="B197" s="28" t="s">
        <v>47</v>
      </c>
      <c r="C197" s="29" t="s">
        <v>240</v>
      </c>
      <c r="D197" s="30">
        <v>1620</v>
      </c>
      <c r="E197" s="38">
        <f t="shared" si="19"/>
        <v>1620</v>
      </c>
      <c r="F197" s="32">
        <f>18*P197</f>
        <v>2430</v>
      </c>
      <c r="G197" s="32">
        <f t="shared" si="15"/>
        <v>810</v>
      </c>
      <c r="H197" s="33">
        <f t="shared" si="16"/>
        <v>0</v>
      </c>
      <c r="I197" t="s">
        <v>240</v>
      </c>
      <c r="J197" t="s">
        <v>241</v>
      </c>
      <c r="K197">
        <v>12</v>
      </c>
      <c r="L197" s="31">
        <f t="shared" si="14"/>
        <v>1620</v>
      </c>
      <c r="M197">
        <v>6</v>
      </c>
      <c r="N197" s="31">
        <f t="shared" si="17"/>
        <v>810</v>
      </c>
      <c r="O197" s="34">
        <v>6</v>
      </c>
      <c r="P197" s="35">
        <v>135</v>
      </c>
      <c r="Q197" s="36">
        <v>810</v>
      </c>
      <c r="R197" s="37">
        <f t="shared" si="18"/>
        <v>810</v>
      </c>
    </row>
    <row r="198" spans="1:18" s="1" customFormat="1" ht="15" x14ac:dyDescent="0.25">
      <c r="A198" s="27" t="s">
        <v>25</v>
      </c>
      <c r="B198" s="28" t="s">
        <v>47</v>
      </c>
      <c r="C198" s="29" t="s">
        <v>242</v>
      </c>
      <c r="D198" s="30">
        <v>4966.0000000000018</v>
      </c>
      <c r="E198" s="38">
        <f t="shared" si="19"/>
        <v>4965.3500000000004</v>
      </c>
      <c r="F198" s="32">
        <f>193.017*P198</f>
        <v>7372.2843149999999</v>
      </c>
      <c r="G198" s="32">
        <f t="shared" si="15"/>
        <v>2559.0656850000023</v>
      </c>
      <c r="H198" s="33">
        <f t="shared" si="16"/>
        <v>6.8500000224958058E-4</v>
      </c>
      <c r="I198" t="s">
        <v>242</v>
      </c>
      <c r="J198" t="s">
        <v>127</v>
      </c>
      <c r="K198">
        <v>130</v>
      </c>
      <c r="L198" s="31">
        <f t="shared" si="14"/>
        <v>4965.3500000000004</v>
      </c>
      <c r="M198">
        <v>63</v>
      </c>
      <c r="N198" s="31">
        <f t="shared" si="17"/>
        <v>2406.2849999999999</v>
      </c>
      <c r="O198" s="34">
        <v>67</v>
      </c>
      <c r="P198" s="35">
        <v>38.195</v>
      </c>
      <c r="Q198" s="36">
        <v>2559.0650000000001</v>
      </c>
      <c r="R198" s="37">
        <f t="shared" si="18"/>
        <v>2559.0650000000005</v>
      </c>
    </row>
    <row r="199" spans="1:18" s="1" customFormat="1" ht="15" x14ac:dyDescent="0.25">
      <c r="A199" s="27" t="s">
        <v>25</v>
      </c>
      <c r="B199" s="28" t="s">
        <v>47</v>
      </c>
      <c r="C199" s="29" t="s">
        <v>243</v>
      </c>
      <c r="D199" s="30">
        <v>2105.4612999999999</v>
      </c>
      <c r="E199" s="38">
        <f t="shared" si="19"/>
        <v>2105.5446000000002</v>
      </c>
      <c r="F199" s="32">
        <f>24.9993*P199</f>
        <v>2924.2856177100002</v>
      </c>
      <c r="G199" s="32">
        <f t="shared" si="15"/>
        <v>1286.7202822899999</v>
      </c>
      <c r="H199" s="33">
        <f t="shared" si="16"/>
        <v>-1.4177100001688814E-3</v>
      </c>
      <c r="I199" t="s">
        <v>243</v>
      </c>
      <c r="J199" t="s">
        <v>42</v>
      </c>
      <c r="K199">
        <v>18</v>
      </c>
      <c r="L199" s="31">
        <f t="shared" si="14"/>
        <v>2105.5446000000002</v>
      </c>
      <c r="M199">
        <v>7</v>
      </c>
      <c r="N199" s="31">
        <f t="shared" si="17"/>
        <v>818.8229</v>
      </c>
      <c r="O199" s="34">
        <v>11</v>
      </c>
      <c r="P199" s="35">
        <v>116.9747</v>
      </c>
      <c r="Q199" s="36">
        <v>1286.7217000000001</v>
      </c>
      <c r="R199" s="37">
        <f t="shared" si="18"/>
        <v>1286.7217000000001</v>
      </c>
    </row>
    <row r="200" spans="1:18" s="1" customFormat="1" ht="15" x14ac:dyDescent="0.25">
      <c r="A200" s="27" t="s">
        <v>25</v>
      </c>
      <c r="B200" s="28" t="s">
        <v>47</v>
      </c>
      <c r="C200" s="29" t="s">
        <v>244</v>
      </c>
      <c r="D200" s="30">
        <v>1751.5198999999998</v>
      </c>
      <c r="E200" s="38">
        <f t="shared" si="19"/>
        <v>1751.4864</v>
      </c>
      <c r="F200" s="32">
        <f>48.0009*P200</f>
        <v>1751.51924037</v>
      </c>
      <c r="G200" s="32">
        <f t="shared" si="15"/>
        <v>1751.48705963</v>
      </c>
      <c r="H200" s="33">
        <f t="shared" si="16"/>
        <v>6.59629999745448E-4</v>
      </c>
      <c r="I200" t="s">
        <v>244</v>
      </c>
      <c r="J200" t="s">
        <v>42</v>
      </c>
      <c r="K200">
        <v>48</v>
      </c>
      <c r="L200" s="31">
        <f t="shared" si="14"/>
        <v>1751.4864</v>
      </c>
      <c r="M200">
        <v>0</v>
      </c>
      <c r="N200" s="31">
        <f t="shared" si="17"/>
        <v>0</v>
      </c>
      <c r="O200" s="34">
        <v>48</v>
      </c>
      <c r="P200" s="35">
        <v>36.4893</v>
      </c>
      <c r="Q200" s="36">
        <v>1751.4864000000002</v>
      </c>
      <c r="R200" s="37">
        <f t="shared" si="18"/>
        <v>1751.4864</v>
      </c>
    </row>
    <row r="201" spans="1:18" s="1" customFormat="1" ht="15" x14ac:dyDescent="0.25">
      <c r="A201" s="27" t="s">
        <v>25</v>
      </c>
      <c r="B201" s="28" t="s">
        <v>47</v>
      </c>
      <c r="C201" s="29" t="s">
        <v>245</v>
      </c>
      <c r="D201" s="30">
        <v>2473.995799999997</v>
      </c>
      <c r="E201" s="38">
        <f t="shared" si="19"/>
        <v>24009.045999999998</v>
      </c>
      <c r="F201" s="32">
        <f>109.5784*P201</f>
        <v>13846.699190560001</v>
      </c>
      <c r="G201" s="32">
        <f t="shared" si="15"/>
        <v>12636.342609439995</v>
      </c>
      <c r="H201" s="33">
        <f t="shared" si="16"/>
        <v>2.6094399945577607E-3</v>
      </c>
      <c r="I201" t="s">
        <v>245</v>
      </c>
      <c r="J201" t="s">
        <v>42</v>
      </c>
      <c r="K201">
        <v>190</v>
      </c>
      <c r="L201" s="31">
        <f t="shared" si="14"/>
        <v>24009.045999999998</v>
      </c>
      <c r="M201">
        <v>90</v>
      </c>
      <c r="N201" s="31">
        <f t="shared" si="17"/>
        <v>11372.706</v>
      </c>
      <c r="O201" s="34">
        <v>100</v>
      </c>
      <c r="P201" s="35">
        <v>126.3634</v>
      </c>
      <c r="Q201" s="36">
        <v>12636.34</v>
      </c>
      <c r="R201" s="37">
        <f t="shared" si="18"/>
        <v>12636.339999999998</v>
      </c>
    </row>
    <row r="202" spans="1:18" s="1" customFormat="1" ht="15" x14ac:dyDescent="0.25">
      <c r="A202" s="27" t="s">
        <v>25</v>
      </c>
      <c r="B202" s="28" t="s">
        <v>47</v>
      </c>
      <c r="C202" s="29" t="s">
        <v>246</v>
      </c>
      <c r="D202" s="30">
        <v>377.18560000000002</v>
      </c>
      <c r="E202" s="38">
        <f t="shared" si="19"/>
        <v>375.55169999999998</v>
      </c>
      <c r="F202" s="32">
        <f>543.66*P202</f>
        <v>535.88566200000002</v>
      </c>
      <c r="G202" s="32">
        <f t="shared" si="15"/>
        <v>216.85163799999998</v>
      </c>
      <c r="H202" s="33">
        <f t="shared" si="16"/>
        <v>-2.362000000033504E-3</v>
      </c>
      <c r="I202" t="s">
        <v>246</v>
      </c>
      <c r="J202" t="s">
        <v>28</v>
      </c>
      <c r="K202">
        <v>381</v>
      </c>
      <c r="L202" s="31">
        <f t="shared" si="14"/>
        <v>375.55169999999998</v>
      </c>
      <c r="M202">
        <v>161</v>
      </c>
      <c r="N202" s="31">
        <f t="shared" si="17"/>
        <v>158.6977</v>
      </c>
      <c r="O202" s="34">
        <v>220</v>
      </c>
      <c r="P202" s="35">
        <v>0.98570000000000002</v>
      </c>
      <c r="Q202" s="36">
        <v>216.85400000000001</v>
      </c>
      <c r="R202" s="37">
        <f t="shared" si="18"/>
        <v>216.85399999999998</v>
      </c>
    </row>
    <row r="203" spans="1:18" s="1" customFormat="1" ht="15" x14ac:dyDescent="0.25">
      <c r="A203" s="27" t="s">
        <v>25</v>
      </c>
      <c r="B203" s="28" t="s">
        <v>47</v>
      </c>
      <c r="C203" s="29" t="s">
        <v>247</v>
      </c>
      <c r="D203" s="30">
        <v>3942.7245999999996</v>
      </c>
      <c r="E203" s="38">
        <f t="shared" si="19"/>
        <v>3944.9843999999998</v>
      </c>
      <c r="F203" s="32">
        <f>791.619*P203</f>
        <v>4689.0759846000001</v>
      </c>
      <c r="G203" s="32">
        <f t="shared" si="15"/>
        <v>3198.6330153999988</v>
      </c>
      <c r="H203" s="33">
        <f t="shared" si="16"/>
        <v>-2.9846000011275464E-3</v>
      </c>
      <c r="I203" t="s">
        <v>247</v>
      </c>
      <c r="J203" t="s">
        <v>28</v>
      </c>
      <c r="K203">
        <v>666</v>
      </c>
      <c r="L203" s="31">
        <f t="shared" si="14"/>
        <v>3944.9843999999998</v>
      </c>
      <c r="M203">
        <v>126</v>
      </c>
      <c r="N203" s="31">
        <f t="shared" si="17"/>
        <v>746.34839999999997</v>
      </c>
      <c r="O203" s="34">
        <v>540</v>
      </c>
      <c r="P203" s="35">
        <v>5.9234</v>
      </c>
      <c r="Q203" s="36">
        <v>3198.636</v>
      </c>
      <c r="R203" s="37">
        <f t="shared" si="18"/>
        <v>3198.636</v>
      </c>
    </row>
    <row r="204" spans="1:18" s="1" customFormat="1" ht="15" x14ac:dyDescent="0.25">
      <c r="A204" s="27" t="s">
        <v>25</v>
      </c>
      <c r="B204" s="28" t="s">
        <v>47</v>
      </c>
      <c r="C204" s="29" t="s">
        <v>248</v>
      </c>
      <c r="D204" s="30">
        <v>22.402000000000001</v>
      </c>
      <c r="E204" s="38">
        <f t="shared" si="19"/>
        <v>22.391999999999999</v>
      </c>
      <c r="F204" s="32">
        <f>40.01*P204</f>
        <v>44.795195999999997</v>
      </c>
      <c r="G204" s="32">
        <f t="shared" si="15"/>
        <v>-1.1960000000001969E-3</v>
      </c>
      <c r="H204" s="33">
        <f t="shared" si="16"/>
        <v>-1.1960000000001969E-3</v>
      </c>
      <c r="I204" t="s">
        <v>248</v>
      </c>
      <c r="J204" t="s">
        <v>28</v>
      </c>
      <c r="K204">
        <v>20</v>
      </c>
      <c r="L204" s="31">
        <f t="shared" si="14"/>
        <v>22.391999999999999</v>
      </c>
      <c r="M204">
        <v>20</v>
      </c>
      <c r="N204" s="31">
        <f t="shared" si="17"/>
        <v>22.391999999999999</v>
      </c>
      <c r="O204" s="34">
        <v>0</v>
      </c>
      <c r="P204" s="35">
        <v>1.1195999999999999</v>
      </c>
      <c r="Q204" s="36">
        <v>0</v>
      </c>
      <c r="R204" s="37">
        <f t="shared" si="18"/>
        <v>0</v>
      </c>
    </row>
    <row r="205" spans="1:18" s="1" customFormat="1" ht="15" x14ac:dyDescent="0.25">
      <c r="A205" s="27" t="s">
        <v>25</v>
      </c>
      <c r="B205" s="28" t="s">
        <v>47</v>
      </c>
      <c r="C205" s="29" t="s">
        <v>249</v>
      </c>
      <c r="D205" s="30">
        <v>3532.2458000000006</v>
      </c>
      <c r="E205" s="38">
        <f t="shared" si="19"/>
        <v>3532.3565000000003</v>
      </c>
      <c r="F205" s="32">
        <f>370.989*P205</f>
        <v>3691.4518466999998</v>
      </c>
      <c r="G205" s="32">
        <f t="shared" si="15"/>
        <v>3373.1504533000007</v>
      </c>
      <c r="H205" s="33">
        <f t="shared" si="16"/>
        <v>-1.24669999922844E-3</v>
      </c>
      <c r="I205" t="s">
        <v>249</v>
      </c>
      <c r="J205" t="s">
        <v>59</v>
      </c>
      <c r="K205">
        <v>355</v>
      </c>
      <c r="L205" s="31">
        <f t="shared" ref="L205:L268" si="20">+K205*P205</f>
        <v>3532.3565000000003</v>
      </c>
      <c r="M205">
        <v>16</v>
      </c>
      <c r="N205" s="31">
        <f t="shared" si="17"/>
        <v>159.20480000000001</v>
      </c>
      <c r="O205" s="34">
        <v>339</v>
      </c>
      <c r="P205" s="35">
        <v>9.9503000000000004</v>
      </c>
      <c r="Q205" s="36">
        <v>3373.1516999999999</v>
      </c>
      <c r="R205" s="37">
        <f t="shared" si="18"/>
        <v>3373.1517000000003</v>
      </c>
    </row>
    <row r="206" spans="1:18" s="1" customFormat="1" ht="15" x14ac:dyDescent="0.25">
      <c r="A206" s="27" t="s">
        <v>25</v>
      </c>
      <c r="B206" s="28" t="s">
        <v>47</v>
      </c>
      <c r="C206" s="29" t="s">
        <v>250</v>
      </c>
      <c r="D206" s="30">
        <v>2104.2904000000003</v>
      </c>
      <c r="E206" s="38">
        <f t="shared" si="19"/>
        <v>2106.7416000000003</v>
      </c>
      <c r="F206" s="32">
        <f>776.207*P206</f>
        <v>2401.2739752000002</v>
      </c>
      <c r="G206" s="32">
        <f t="shared" ref="G206:G269" si="21">+D206+E206-F206</f>
        <v>1809.7580248000008</v>
      </c>
      <c r="H206" s="33">
        <f t="shared" ref="H206:H269" si="22">+G206-Q206</f>
        <v>2.0248000007541123E-3</v>
      </c>
      <c r="I206" t="s">
        <v>250</v>
      </c>
      <c r="J206" t="s">
        <v>28</v>
      </c>
      <c r="K206">
        <v>681</v>
      </c>
      <c r="L206" s="31">
        <f t="shared" si="20"/>
        <v>2106.7416000000003</v>
      </c>
      <c r="M206">
        <v>96</v>
      </c>
      <c r="N206" s="31">
        <f t="shared" si="17"/>
        <v>296.98560000000003</v>
      </c>
      <c r="O206" s="34">
        <v>585</v>
      </c>
      <c r="P206" s="35">
        <v>3.0936000000000003</v>
      </c>
      <c r="Q206" s="36">
        <v>1809.7560000000001</v>
      </c>
      <c r="R206" s="37">
        <f t="shared" si="18"/>
        <v>1809.7560000000003</v>
      </c>
    </row>
    <row r="207" spans="1:18" s="1" customFormat="1" ht="15" x14ac:dyDescent="0.25">
      <c r="A207" s="27" t="s">
        <v>25</v>
      </c>
      <c r="B207" s="28" t="s">
        <v>47</v>
      </c>
      <c r="C207" s="29" t="s">
        <v>251</v>
      </c>
      <c r="D207" s="30">
        <v>1923.8400000000004</v>
      </c>
      <c r="E207" s="38">
        <f t="shared" si="19"/>
        <v>1925.2224000000001</v>
      </c>
      <c r="F207" s="32">
        <f>672.585*P207</f>
        <v>2248.048104</v>
      </c>
      <c r="G207" s="32">
        <f t="shared" si="21"/>
        <v>1601.0142960000007</v>
      </c>
      <c r="H207" s="33">
        <f t="shared" si="22"/>
        <v>4.6960000008766656E-3</v>
      </c>
      <c r="I207" t="s">
        <v>251</v>
      </c>
      <c r="J207" t="s">
        <v>28</v>
      </c>
      <c r="K207">
        <v>576</v>
      </c>
      <c r="L207" s="31">
        <f t="shared" si="20"/>
        <v>1925.2224000000001</v>
      </c>
      <c r="M207">
        <v>97</v>
      </c>
      <c r="N207" s="31">
        <f t="shared" si="17"/>
        <v>324.21280000000002</v>
      </c>
      <c r="O207" s="34">
        <v>479</v>
      </c>
      <c r="P207" s="35">
        <v>3.3424</v>
      </c>
      <c r="Q207" s="36">
        <v>1601.0095999999999</v>
      </c>
      <c r="R207" s="37">
        <f t="shared" si="18"/>
        <v>1601.0096000000001</v>
      </c>
    </row>
    <row r="208" spans="1:18" s="1" customFormat="1" ht="15" x14ac:dyDescent="0.25">
      <c r="A208" s="27" t="s">
        <v>25</v>
      </c>
      <c r="B208" s="28" t="s">
        <v>47</v>
      </c>
      <c r="C208" s="29" t="s">
        <v>252</v>
      </c>
      <c r="D208" s="30">
        <v>8746.0817000000025</v>
      </c>
      <c r="E208" s="38">
        <f t="shared" si="19"/>
        <v>8745.0935999999983</v>
      </c>
      <c r="F208" s="32">
        <f>991.093*P208</f>
        <v>10544.040208399998</v>
      </c>
      <c r="G208" s="32">
        <f t="shared" si="21"/>
        <v>6947.1350916000047</v>
      </c>
      <c r="H208" s="33">
        <f t="shared" si="22"/>
        <v>-1.308399994741194E-3</v>
      </c>
      <c r="I208" t="s">
        <v>252</v>
      </c>
      <c r="J208" t="s">
        <v>28</v>
      </c>
      <c r="K208">
        <v>822</v>
      </c>
      <c r="L208" s="31">
        <f t="shared" si="20"/>
        <v>8745.0935999999983</v>
      </c>
      <c r="M208">
        <v>169</v>
      </c>
      <c r="N208" s="31">
        <f t="shared" si="17"/>
        <v>1797.9571999999996</v>
      </c>
      <c r="O208" s="34">
        <v>653</v>
      </c>
      <c r="P208" s="35">
        <v>10.638799999999998</v>
      </c>
      <c r="Q208" s="36">
        <v>6947.1363999999994</v>
      </c>
      <c r="R208" s="37">
        <f t="shared" si="18"/>
        <v>6947.1363999999985</v>
      </c>
    </row>
    <row r="209" spans="1:18" s="1" customFormat="1" ht="15" x14ac:dyDescent="0.25">
      <c r="A209" s="27" t="s">
        <v>25</v>
      </c>
      <c r="B209" s="28" t="s">
        <v>47</v>
      </c>
      <c r="C209" s="29" t="s">
        <v>253</v>
      </c>
      <c r="D209" s="30">
        <v>9122.8820000000014</v>
      </c>
      <c r="E209" s="38">
        <f t="shared" si="19"/>
        <v>9120.1279999999988</v>
      </c>
      <c r="F209" s="32">
        <f>703.208*P209</f>
        <v>9321.7252479999988</v>
      </c>
      <c r="G209" s="32">
        <f t="shared" si="21"/>
        <v>8921.2847520000032</v>
      </c>
      <c r="H209" s="33">
        <f t="shared" si="22"/>
        <v>-3.2479999972565565E-3</v>
      </c>
      <c r="I209" t="s">
        <v>253</v>
      </c>
      <c r="J209" t="s">
        <v>28</v>
      </c>
      <c r="K209">
        <v>688</v>
      </c>
      <c r="L209" s="31">
        <f t="shared" si="20"/>
        <v>9120.1279999999988</v>
      </c>
      <c r="M209">
        <v>15</v>
      </c>
      <c r="N209" s="31">
        <f t="shared" si="17"/>
        <v>198.83999999999997</v>
      </c>
      <c r="O209" s="34">
        <v>673</v>
      </c>
      <c r="P209" s="35">
        <v>13.255999999999998</v>
      </c>
      <c r="Q209" s="36">
        <v>8921.2880000000005</v>
      </c>
      <c r="R209" s="37">
        <f t="shared" si="18"/>
        <v>8921.2879999999986</v>
      </c>
    </row>
    <row r="210" spans="1:18" s="1" customFormat="1" ht="15" x14ac:dyDescent="0.25">
      <c r="A210" s="27" t="s">
        <v>25</v>
      </c>
      <c r="B210" s="28" t="s">
        <v>29</v>
      </c>
      <c r="C210" s="29" t="s">
        <v>254</v>
      </c>
      <c r="D210" s="30">
        <v>1852.2893999999997</v>
      </c>
      <c r="E210" s="38">
        <f t="shared" si="19"/>
        <v>4312.5108</v>
      </c>
      <c r="F210" s="32">
        <f>19.1674*P210</f>
        <v>3179.2161349200001</v>
      </c>
      <c r="G210" s="32">
        <f t="shared" si="21"/>
        <v>2985.5840650799996</v>
      </c>
      <c r="H210" s="33">
        <f t="shared" si="22"/>
        <v>-3.349200010234199E-4</v>
      </c>
      <c r="I210" t="s">
        <v>254</v>
      </c>
      <c r="J210" t="s">
        <v>28</v>
      </c>
      <c r="K210">
        <v>26</v>
      </c>
      <c r="L210" s="31">
        <f t="shared" si="20"/>
        <v>4312.5108</v>
      </c>
      <c r="M210">
        <v>8</v>
      </c>
      <c r="N210" s="31">
        <f t="shared" si="17"/>
        <v>1326.9264000000001</v>
      </c>
      <c r="O210" s="34">
        <v>18</v>
      </c>
      <c r="P210" s="35">
        <v>165.86580000000001</v>
      </c>
      <c r="Q210" s="36">
        <v>2985.5844000000006</v>
      </c>
      <c r="R210" s="37">
        <f t="shared" si="18"/>
        <v>2985.5843999999997</v>
      </c>
    </row>
    <row r="211" spans="1:18" s="1" customFormat="1" ht="15" x14ac:dyDescent="0.25">
      <c r="A211" s="27" t="s">
        <v>25</v>
      </c>
      <c r="B211" s="28" t="s">
        <v>29</v>
      </c>
      <c r="C211" s="29" t="s">
        <v>255</v>
      </c>
      <c r="D211" s="30">
        <v>687.20000000000027</v>
      </c>
      <c r="E211" s="38">
        <f t="shared" si="19"/>
        <v>687.19</v>
      </c>
      <c r="F211" s="32">
        <f>4.00004*P211</f>
        <v>687.19687190000013</v>
      </c>
      <c r="G211" s="32">
        <f t="shared" si="21"/>
        <v>687.19312810000019</v>
      </c>
      <c r="H211" s="33">
        <f t="shared" si="22"/>
        <v>3.1281000001399661E-3</v>
      </c>
      <c r="I211" t="s">
        <v>255</v>
      </c>
      <c r="J211" t="s">
        <v>34</v>
      </c>
      <c r="K211">
        <v>4</v>
      </c>
      <c r="L211" s="31">
        <f t="shared" si="20"/>
        <v>687.19</v>
      </c>
      <c r="M211">
        <v>0</v>
      </c>
      <c r="N211" s="31">
        <f t="shared" si="17"/>
        <v>0</v>
      </c>
      <c r="O211" s="34">
        <v>4</v>
      </c>
      <c r="P211" s="35">
        <v>171.79750000000001</v>
      </c>
      <c r="Q211" s="36">
        <v>687.19</v>
      </c>
      <c r="R211" s="37">
        <f t="shared" si="18"/>
        <v>687.19</v>
      </c>
    </row>
    <row r="212" spans="1:18" s="1" customFormat="1" ht="15" x14ac:dyDescent="0.25">
      <c r="A212" s="27" t="s">
        <v>25</v>
      </c>
      <c r="B212" s="28" t="s">
        <v>47</v>
      </c>
      <c r="C212" s="29" t="s">
        <v>256</v>
      </c>
      <c r="D212" s="30">
        <v>224.2</v>
      </c>
      <c r="E212" s="38">
        <f t="shared" si="19"/>
        <v>224.2</v>
      </c>
      <c r="F212" s="32">
        <f>4*P212</f>
        <v>224.2</v>
      </c>
      <c r="G212" s="32">
        <f t="shared" si="21"/>
        <v>224.2</v>
      </c>
      <c r="H212" s="33">
        <f t="shared" si="22"/>
        <v>0</v>
      </c>
      <c r="I212" t="s">
        <v>256</v>
      </c>
      <c r="J212" t="s">
        <v>28</v>
      </c>
      <c r="K212">
        <v>4</v>
      </c>
      <c r="L212" s="31">
        <f t="shared" si="20"/>
        <v>224.2</v>
      </c>
      <c r="M212">
        <v>0</v>
      </c>
      <c r="N212" s="31">
        <f t="shared" ref="N212:N271" si="23">+M212*P212</f>
        <v>0</v>
      </c>
      <c r="O212" s="34">
        <v>4</v>
      </c>
      <c r="P212" s="35">
        <v>56.05</v>
      </c>
      <c r="Q212" s="36">
        <v>224.2</v>
      </c>
      <c r="R212" s="37">
        <f t="shared" ref="R212:R271" si="24">+L212-N212</f>
        <v>224.2</v>
      </c>
    </row>
    <row r="213" spans="1:18" s="1" customFormat="1" ht="15" x14ac:dyDescent="0.25">
      <c r="A213" s="27" t="s">
        <v>25</v>
      </c>
      <c r="B213" s="28" t="s">
        <v>26</v>
      </c>
      <c r="C213" s="29" t="s">
        <v>257</v>
      </c>
      <c r="D213" s="30">
        <v>385.29999999999927</v>
      </c>
      <c r="E213" s="38">
        <f t="shared" ref="E213:E271" si="25">+K213*P213</f>
        <v>3184.7903999999999</v>
      </c>
      <c r="F213" s="32">
        <f>1.45179*P213</f>
        <v>385.30390456800001</v>
      </c>
      <c r="G213" s="32">
        <f t="shared" si="21"/>
        <v>3184.7864954319994</v>
      </c>
      <c r="H213" s="33">
        <f t="shared" si="22"/>
        <v>-3.9045680009621719E-3</v>
      </c>
      <c r="I213" t="s">
        <v>257</v>
      </c>
      <c r="J213" t="s">
        <v>44</v>
      </c>
      <c r="K213">
        <v>12</v>
      </c>
      <c r="L213" s="31">
        <f t="shared" si="20"/>
        <v>3184.7903999999999</v>
      </c>
      <c r="M213">
        <v>0</v>
      </c>
      <c r="N213" s="31">
        <f t="shared" si="23"/>
        <v>0</v>
      </c>
      <c r="O213" s="34">
        <v>12</v>
      </c>
      <c r="P213" s="35">
        <v>265.39920000000001</v>
      </c>
      <c r="Q213" s="36">
        <v>3184.7904000000003</v>
      </c>
      <c r="R213" s="37">
        <f t="shared" si="24"/>
        <v>3184.7903999999999</v>
      </c>
    </row>
    <row r="214" spans="1:18" s="1" customFormat="1" ht="15" x14ac:dyDescent="0.25">
      <c r="A214" s="27" t="s">
        <v>25</v>
      </c>
      <c r="B214" s="28" t="s">
        <v>45</v>
      </c>
      <c r="C214" s="29" t="s">
        <v>258</v>
      </c>
      <c r="D214" s="30">
        <v>3840</v>
      </c>
      <c r="E214" s="38">
        <f t="shared" si="25"/>
        <v>5100.0102000000006</v>
      </c>
      <c r="F214" s="32">
        <f>8.77645*P214</f>
        <v>4973.3316133100006</v>
      </c>
      <c r="G214" s="32">
        <f t="shared" si="21"/>
        <v>3966.67858669</v>
      </c>
      <c r="H214" s="33">
        <f t="shared" si="22"/>
        <v>3.9866899992375693E-3</v>
      </c>
      <c r="I214" t="s">
        <v>258</v>
      </c>
      <c r="J214" t="s">
        <v>28</v>
      </c>
      <c r="K214">
        <v>9</v>
      </c>
      <c r="L214" s="31">
        <f t="shared" si="20"/>
        <v>5100.0102000000006</v>
      </c>
      <c r="M214">
        <v>2</v>
      </c>
      <c r="N214" s="31">
        <f t="shared" si="23"/>
        <v>1133.3356000000001</v>
      </c>
      <c r="O214" s="34">
        <v>7</v>
      </c>
      <c r="P214" s="35">
        <v>566.66780000000006</v>
      </c>
      <c r="Q214" s="36">
        <v>3966.6746000000007</v>
      </c>
      <c r="R214" s="37">
        <f t="shared" si="24"/>
        <v>3966.6746000000003</v>
      </c>
    </row>
    <row r="215" spans="1:18" s="1" customFormat="1" ht="15" x14ac:dyDescent="0.25">
      <c r="A215" s="27" t="s">
        <v>25</v>
      </c>
      <c r="B215" s="28" t="s">
        <v>45</v>
      </c>
      <c r="C215" s="29" t="s">
        <v>259</v>
      </c>
      <c r="D215" s="30">
        <v>772.20119999999997</v>
      </c>
      <c r="E215" s="38">
        <f t="shared" si="25"/>
        <v>1172.1695999999999</v>
      </c>
      <c r="F215" s="32">
        <f>27.4458*P215</f>
        <v>1148.96901456</v>
      </c>
      <c r="G215" s="32">
        <f t="shared" si="21"/>
        <v>795.40178543999991</v>
      </c>
      <c r="H215" s="33">
        <f t="shared" si="22"/>
        <v>9.8544000002220855E-4</v>
      </c>
      <c r="I215" t="s">
        <v>259</v>
      </c>
      <c r="J215" t="s">
        <v>28</v>
      </c>
      <c r="K215">
        <v>28</v>
      </c>
      <c r="L215" s="31">
        <f t="shared" si="20"/>
        <v>1172.1695999999999</v>
      </c>
      <c r="M215">
        <v>9</v>
      </c>
      <c r="N215" s="31">
        <f t="shared" si="23"/>
        <v>376.7688</v>
      </c>
      <c r="O215" s="34">
        <v>19</v>
      </c>
      <c r="P215" s="35">
        <v>41.863199999999999</v>
      </c>
      <c r="Q215" s="36">
        <v>795.40079999999989</v>
      </c>
      <c r="R215" s="37">
        <f t="shared" si="24"/>
        <v>795.40079999999989</v>
      </c>
    </row>
    <row r="216" spans="1:18" s="1" customFormat="1" ht="15" x14ac:dyDescent="0.25">
      <c r="A216" s="27" t="s">
        <v>25</v>
      </c>
      <c r="B216" s="28" t="s">
        <v>45</v>
      </c>
      <c r="C216" s="29" t="s">
        <v>260</v>
      </c>
      <c r="D216" s="30">
        <v>1180</v>
      </c>
      <c r="E216" s="38">
        <f t="shared" si="25"/>
        <v>1180</v>
      </c>
      <c r="F216" s="32">
        <f>2*P216</f>
        <v>1180</v>
      </c>
      <c r="G216" s="32">
        <f t="shared" si="21"/>
        <v>1180</v>
      </c>
      <c r="H216" s="33">
        <f t="shared" si="22"/>
        <v>0</v>
      </c>
      <c r="I216" t="s">
        <v>260</v>
      </c>
      <c r="J216" t="s">
        <v>261</v>
      </c>
      <c r="K216">
        <v>2</v>
      </c>
      <c r="L216" s="31">
        <f t="shared" si="20"/>
        <v>1180</v>
      </c>
      <c r="M216">
        <v>0</v>
      </c>
      <c r="N216" s="31">
        <f t="shared" si="23"/>
        <v>0</v>
      </c>
      <c r="O216" s="34">
        <v>2</v>
      </c>
      <c r="P216" s="35">
        <v>590</v>
      </c>
      <c r="Q216" s="36">
        <v>1180</v>
      </c>
      <c r="R216" s="37">
        <f t="shared" si="24"/>
        <v>1180</v>
      </c>
    </row>
    <row r="217" spans="1:18" s="1" customFormat="1" ht="15" x14ac:dyDescent="0.25">
      <c r="A217" s="27" t="s">
        <v>25</v>
      </c>
      <c r="B217" s="28" t="s">
        <v>45</v>
      </c>
      <c r="C217" s="29" t="s">
        <v>262</v>
      </c>
      <c r="D217" s="30">
        <v>1180</v>
      </c>
      <c r="E217" s="38">
        <f t="shared" si="25"/>
        <v>1180</v>
      </c>
      <c r="F217" s="32">
        <f>2*P217</f>
        <v>1180</v>
      </c>
      <c r="G217" s="32">
        <f t="shared" si="21"/>
        <v>1180</v>
      </c>
      <c r="H217" s="33">
        <f t="shared" si="22"/>
        <v>0</v>
      </c>
      <c r="I217" t="s">
        <v>262</v>
      </c>
      <c r="J217" t="s">
        <v>261</v>
      </c>
      <c r="K217">
        <v>2</v>
      </c>
      <c r="L217" s="31">
        <f t="shared" si="20"/>
        <v>1180</v>
      </c>
      <c r="M217">
        <v>0</v>
      </c>
      <c r="N217" s="31">
        <f t="shared" si="23"/>
        <v>0</v>
      </c>
      <c r="O217" s="34">
        <v>2</v>
      </c>
      <c r="P217" s="35">
        <v>590</v>
      </c>
      <c r="Q217" s="36">
        <v>1180</v>
      </c>
      <c r="R217" s="37">
        <f t="shared" si="24"/>
        <v>1180</v>
      </c>
    </row>
    <row r="218" spans="1:18" s="1" customFormat="1" ht="15" x14ac:dyDescent="0.25">
      <c r="A218" s="27" t="s">
        <v>25</v>
      </c>
      <c r="B218" s="28" t="s">
        <v>45</v>
      </c>
      <c r="C218" s="29" t="s">
        <v>263</v>
      </c>
      <c r="D218" s="30">
        <v>1180</v>
      </c>
      <c r="E218" s="38">
        <f t="shared" si="25"/>
        <v>1180</v>
      </c>
      <c r="F218" s="32">
        <f>2*P218</f>
        <v>1180</v>
      </c>
      <c r="G218" s="32">
        <f t="shared" si="21"/>
        <v>1180</v>
      </c>
      <c r="H218" s="33">
        <f t="shared" si="22"/>
        <v>0</v>
      </c>
      <c r="I218" t="s">
        <v>263</v>
      </c>
      <c r="J218" t="s">
        <v>261</v>
      </c>
      <c r="K218">
        <v>2</v>
      </c>
      <c r="L218" s="31">
        <f t="shared" si="20"/>
        <v>1180</v>
      </c>
      <c r="M218">
        <v>0</v>
      </c>
      <c r="N218" s="31">
        <f t="shared" si="23"/>
        <v>0</v>
      </c>
      <c r="O218" s="34">
        <v>2</v>
      </c>
      <c r="P218" s="35">
        <v>590</v>
      </c>
      <c r="Q218" s="36">
        <v>1180</v>
      </c>
      <c r="R218" s="37">
        <f t="shared" si="24"/>
        <v>1180</v>
      </c>
    </row>
    <row r="219" spans="1:18" s="1" customFormat="1" ht="15" x14ac:dyDescent="0.25">
      <c r="A219" s="27" t="s">
        <v>25</v>
      </c>
      <c r="B219" s="28" t="s">
        <v>45</v>
      </c>
      <c r="C219" s="29" t="s">
        <v>264</v>
      </c>
      <c r="D219" s="30">
        <v>2231.7199999999998</v>
      </c>
      <c r="E219" s="38">
        <f t="shared" si="25"/>
        <v>2231.73</v>
      </c>
      <c r="F219" s="32">
        <f>4*P219</f>
        <v>2231.73</v>
      </c>
      <c r="G219" s="32">
        <f t="shared" si="21"/>
        <v>2231.7199999999998</v>
      </c>
      <c r="H219" s="33">
        <f t="shared" si="22"/>
        <v>-1.0000000000218279E-2</v>
      </c>
      <c r="I219" t="s">
        <v>264</v>
      </c>
      <c r="J219" t="s">
        <v>261</v>
      </c>
      <c r="K219">
        <v>4</v>
      </c>
      <c r="L219" s="31">
        <f t="shared" si="20"/>
        <v>2231.73</v>
      </c>
      <c r="M219">
        <v>0</v>
      </c>
      <c r="N219" s="31">
        <f t="shared" si="23"/>
        <v>0</v>
      </c>
      <c r="O219" s="34">
        <v>4</v>
      </c>
      <c r="P219" s="35">
        <v>557.9325</v>
      </c>
      <c r="Q219" s="36">
        <v>2231.73</v>
      </c>
      <c r="R219" s="37">
        <f t="shared" si="24"/>
        <v>2231.73</v>
      </c>
    </row>
    <row r="220" spans="1:18" s="1" customFormat="1" ht="15" x14ac:dyDescent="0.25">
      <c r="A220" s="27" t="s">
        <v>25</v>
      </c>
      <c r="B220" s="28" t="s">
        <v>45</v>
      </c>
      <c r="C220" s="29" t="s">
        <v>265</v>
      </c>
      <c r="D220" s="30">
        <v>423.60000000000036</v>
      </c>
      <c r="E220" s="38">
        <f t="shared" si="25"/>
        <v>423.62</v>
      </c>
      <c r="F220" s="32">
        <f>1.9999*P220</f>
        <v>423.59881899999999</v>
      </c>
      <c r="G220" s="32">
        <f t="shared" si="21"/>
        <v>423.62118100000038</v>
      </c>
      <c r="H220" s="33">
        <f t="shared" si="22"/>
        <v>1.1810000003720234E-3</v>
      </c>
      <c r="I220" t="s">
        <v>265</v>
      </c>
      <c r="J220" t="s">
        <v>28</v>
      </c>
      <c r="K220">
        <v>2</v>
      </c>
      <c r="L220" s="31">
        <f t="shared" si="20"/>
        <v>423.62</v>
      </c>
      <c r="M220">
        <v>0</v>
      </c>
      <c r="N220" s="31">
        <f t="shared" si="23"/>
        <v>0</v>
      </c>
      <c r="O220" s="34">
        <v>2</v>
      </c>
      <c r="P220" s="35">
        <v>211.81</v>
      </c>
      <c r="Q220" s="36">
        <v>423.62</v>
      </c>
      <c r="R220" s="37">
        <f t="shared" si="24"/>
        <v>423.62</v>
      </c>
    </row>
    <row r="221" spans="1:18" s="1" customFormat="1" ht="15" x14ac:dyDescent="0.25">
      <c r="A221" s="27" t="s">
        <v>25</v>
      </c>
      <c r="B221" s="28" t="s">
        <v>45</v>
      </c>
      <c r="C221" s="29" t="s">
        <v>266</v>
      </c>
      <c r="D221" s="30">
        <v>1662</v>
      </c>
      <c r="E221" s="38">
        <f t="shared" si="25"/>
        <v>1662</v>
      </c>
      <c r="F221" s="32">
        <f>6*P221</f>
        <v>1662</v>
      </c>
      <c r="G221" s="32">
        <f t="shared" si="21"/>
        <v>1662</v>
      </c>
      <c r="H221" s="33">
        <f t="shared" si="22"/>
        <v>0</v>
      </c>
      <c r="I221" t="s">
        <v>266</v>
      </c>
      <c r="J221" t="s">
        <v>28</v>
      </c>
      <c r="K221">
        <v>6</v>
      </c>
      <c r="L221" s="31">
        <f t="shared" si="20"/>
        <v>1662</v>
      </c>
      <c r="M221">
        <v>0</v>
      </c>
      <c r="N221" s="31">
        <f t="shared" si="23"/>
        <v>0</v>
      </c>
      <c r="O221" s="34">
        <v>6</v>
      </c>
      <c r="P221" s="35">
        <v>277</v>
      </c>
      <c r="Q221" s="36">
        <v>1662</v>
      </c>
      <c r="R221" s="37">
        <f t="shared" si="24"/>
        <v>1662</v>
      </c>
    </row>
    <row r="222" spans="1:18" s="1" customFormat="1" ht="15" x14ac:dyDescent="0.25">
      <c r="A222" s="27" t="s">
        <v>25</v>
      </c>
      <c r="B222" s="28" t="s">
        <v>45</v>
      </c>
      <c r="C222" s="29" t="s">
        <v>267</v>
      </c>
      <c r="D222" s="30">
        <v>188.01</v>
      </c>
      <c r="E222" s="38">
        <f t="shared" si="25"/>
        <v>188.01</v>
      </c>
      <c r="F222" s="32">
        <f>1*P222</f>
        <v>188.01</v>
      </c>
      <c r="G222" s="32">
        <f t="shared" si="21"/>
        <v>188.01</v>
      </c>
      <c r="H222" s="33">
        <f t="shared" si="22"/>
        <v>0</v>
      </c>
      <c r="I222" t="s">
        <v>267</v>
      </c>
      <c r="J222" t="s">
        <v>59</v>
      </c>
      <c r="K222">
        <v>1</v>
      </c>
      <c r="L222" s="31">
        <f t="shared" si="20"/>
        <v>188.01</v>
      </c>
      <c r="M222">
        <v>0</v>
      </c>
      <c r="N222" s="31">
        <f t="shared" si="23"/>
        <v>0</v>
      </c>
      <c r="O222" s="34">
        <v>1</v>
      </c>
      <c r="P222" s="35">
        <v>188.01</v>
      </c>
      <c r="Q222" s="36">
        <v>188.01</v>
      </c>
      <c r="R222" s="37">
        <f t="shared" si="24"/>
        <v>188.01</v>
      </c>
    </row>
    <row r="223" spans="1:18" s="1" customFormat="1" ht="15" x14ac:dyDescent="0.25">
      <c r="A223" s="27" t="s">
        <v>25</v>
      </c>
      <c r="B223" s="28" t="s">
        <v>45</v>
      </c>
      <c r="C223" s="29" t="s">
        <v>268</v>
      </c>
      <c r="D223" s="30">
        <v>188.01</v>
      </c>
      <c r="E223" s="38">
        <f t="shared" si="25"/>
        <v>188.01</v>
      </c>
      <c r="F223" s="32">
        <f>1*P223</f>
        <v>188.01</v>
      </c>
      <c r="G223" s="32">
        <f t="shared" si="21"/>
        <v>188.01</v>
      </c>
      <c r="H223" s="33">
        <f t="shared" si="22"/>
        <v>0</v>
      </c>
      <c r="I223" t="s">
        <v>268</v>
      </c>
      <c r="J223" t="s">
        <v>59</v>
      </c>
      <c r="K223">
        <v>1</v>
      </c>
      <c r="L223" s="31">
        <f t="shared" si="20"/>
        <v>188.01</v>
      </c>
      <c r="M223">
        <v>0</v>
      </c>
      <c r="N223" s="31">
        <f t="shared" si="23"/>
        <v>0</v>
      </c>
      <c r="O223" s="34">
        <v>1</v>
      </c>
      <c r="P223" s="35">
        <v>188.01</v>
      </c>
      <c r="Q223" s="36">
        <v>188.01</v>
      </c>
      <c r="R223" s="37">
        <f t="shared" si="24"/>
        <v>188.01</v>
      </c>
    </row>
    <row r="224" spans="1:18" s="1" customFormat="1" ht="15" x14ac:dyDescent="0.25">
      <c r="A224" s="27" t="s">
        <v>25</v>
      </c>
      <c r="B224" s="28" t="s">
        <v>29</v>
      </c>
      <c r="C224" s="29" t="s">
        <v>269</v>
      </c>
      <c r="D224" s="30">
        <v>764.28020000000015</v>
      </c>
      <c r="E224" s="38">
        <f t="shared" si="25"/>
        <v>764.29079999999999</v>
      </c>
      <c r="F224" s="32">
        <f>11.9999*P224</f>
        <v>1528.5688618199999</v>
      </c>
      <c r="G224" s="32">
        <f t="shared" si="21"/>
        <v>2.1381800002018281E-3</v>
      </c>
      <c r="H224" s="33">
        <f t="shared" si="22"/>
        <v>2.1381800002018281E-3</v>
      </c>
      <c r="I224" t="s">
        <v>269</v>
      </c>
      <c r="J224" t="s">
        <v>28</v>
      </c>
      <c r="K224">
        <v>6</v>
      </c>
      <c r="L224" s="31">
        <f t="shared" si="20"/>
        <v>764.29079999999999</v>
      </c>
      <c r="M224">
        <v>6</v>
      </c>
      <c r="N224" s="31">
        <f t="shared" si="23"/>
        <v>764.29079999999999</v>
      </c>
      <c r="O224" s="34">
        <v>0</v>
      </c>
      <c r="P224" s="35">
        <v>127.3818</v>
      </c>
      <c r="Q224" s="36">
        <v>0</v>
      </c>
      <c r="R224" s="37">
        <f t="shared" si="24"/>
        <v>0</v>
      </c>
    </row>
    <row r="225" spans="1:19" s="1" customFormat="1" ht="15" x14ac:dyDescent="0.25">
      <c r="A225" s="27" t="s">
        <v>25</v>
      </c>
      <c r="B225" s="28" t="s">
        <v>29</v>
      </c>
      <c r="C225" s="29" t="s">
        <v>270</v>
      </c>
      <c r="D225" s="30">
        <v>585.74900000000002</v>
      </c>
      <c r="E225" s="38">
        <f t="shared" si="25"/>
        <v>827.69999999999993</v>
      </c>
      <c r="F225" s="32">
        <f>31.1536*P225</f>
        <v>1289.2917359999999</v>
      </c>
      <c r="G225" s="32">
        <f t="shared" si="21"/>
        <v>124.15726400000017</v>
      </c>
      <c r="H225" s="33">
        <f t="shared" si="22"/>
        <v>2.2640000001672433E-3</v>
      </c>
      <c r="I225" t="s">
        <v>270</v>
      </c>
      <c r="J225" t="s">
        <v>28</v>
      </c>
      <c r="K225">
        <v>20</v>
      </c>
      <c r="L225" s="31">
        <f t="shared" si="20"/>
        <v>827.69999999999993</v>
      </c>
      <c r="M225">
        <v>17</v>
      </c>
      <c r="N225" s="31">
        <f t="shared" si="23"/>
        <v>703.54499999999996</v>
      </c>
      <c r="O225" s="34">
        <v>3</v>
      </c>
      <c r="P225" s="35">
        <v>41.384999999999998</v>
      </c>
      <c r="Q225" s="36">
        <v>124.155</v>
      </c>
      <c r="R225" s="37">
        <f t="shared" si="24"/>
        <v>124.15499999999997</v>
      </c>
    </row>
    <row r="226" spans="1:19" s="1" customFormat="1" ht="15" x14ac:dyDescent="0.25">
      <c r="A226" s="27" t="s">
        <v>25</v>
      </c>
      <c r="B226" s="28" t="s">
        <v>45</v>
      </c>
      <c r="C226" s="29" t="s">
        <v>271</v>
      </c>
      <c r="D226" s="30">
        <v>4327.5233999999991</v>
      </c>
      <c r="E226" s="38">
        <f t="shared" si="25"/>
        <v>4327.5266000000001</v>
      </c>
      <c r="F226" s="32">
        <f>2*P226</f>
        <v>4327.5266000000001</v>
      </c>
      <c r="G226" s="32">
        <f t="shared" si="21"/>
        <v>4327.5233999999991</v>
      </c>
      <c r="H226" s="33">
        <f t="shared" si="22"/>
        <v>-3.2000000010157237E-3</v>
      </c>
      <c r="I226" t="s">
        <v>271</v>
      </c>
      <c r="J226" t="s">
        <v>28</v>
      </c>
      <c r="K226">
        <v>2</v>
      </c>
      <c r="L226" s="31">
        <f t="shared" si="20"/>
        <v>4327.5266000000001</v>
      </c>
      <c r="M226">
        <v>0</v>
      </c>
      <c r="N226" s="31">
        <f t="shared" si="23"/>
        <v>0</v>
      </c>
      <c r="O226" s="34">
        <v>2</v>
      </c>
      <c r="P226" s="35">
        <v>2163.7633000000001</v>
      </c>
      <c r="Q226" s="36">
        <v>4327.5266000000001</v>
      </c>
      <c r="R226" s="37">
        <f t="shared" si="24"/>
        <v>4327.5266000000001</v>
      </c>
    </row>
    <row r="227" spans="1:19" s="1" customFormat="1" ht="15" x14ac:dyDescent="0.25">
      <c r="A227" s="27" t="s">
        <v>25</v>
      </c>
      <c r="B227" s="28" t="s">
        <v>45</v>
      </c>
      <c r="C227" s="29" t="s">
        <v>272</v>
      </c>
      <c r="D227" s="30">
        <v>8304.5399000000034</v>
      </c>
      <c r="E227" s="38">
        <f t="shared" si="25"/>
        <v>8304.5486000000001</v>
      </c>
      <c r="F227" s="32">
        <f>3.999997*P227</f>
        <v>16609.0847431771</v>
      </c>
      <c r="G227" s="32">
        <f t="shared" si="21"/>
        <v>3.7568229054159019E-3</v>
      </c>
      <c r="H227" s="33">
        <f t="shared" si="22"/>
        <v>3.7568229054159019E-3</v>
      </c>
      <c r="I227" t="s">
        <v>272</v>
      </c>
      <c r="J227" t="s">
        <v>28</v>
      </c>
      <c r="K227">
        <v>2</v>
      </c>
      <c r="L227" s="31">
        <f t="shared" si="20"/>
        <v>8304.5486000000001</v>
      </c>
      <c r="M227">
        <v>2</v>
      </c>
      <c r="N227" s="31">
        <f t="shared" si="23"/>
        <v>8304.5486000000001</v>
      </c>
      <c r="O227" s="34">
        <v>0</v>
      </c>
      <c r="P227" s="35">
        <v>4152.2743</v>
      </c>
      <c r="Q227" s="36">
        <v>0</v>
      </c>
      <c r="R227" s="37">
        <f t="shared" si="24"/>
        <v>0</v>
      </c>
    </row>
    <row r="228" spans="1:19" s="1" customFormat="1" ht="15" x14ac:dyDescent="0.25">
      <c r="A228" s="27" t="s">
        <v>25</v>
      </c>
      <c r="B228" s="28" t="s">
        <v>45</v>
      </c>
      <c r="C228" s="29" t="s">
        <v>273</v>
      </c>
      <c r="D228" s="30">
        <v>2610.09</v>
      </c>
      <c r="E228" s="38">
        <f t="shared" si="25"/>
        <v>2610.09</v>
      </c>
      <c r="F228" s="32">
        <f>1*P228</f>
        <v>2610.09</v>
      </c>
      <c r="G228" s="32">
        <f t="shared" si="21"/>
        <v>2610.09</v>
      </c>
      <c r="H228" s="33">
        <f t="shared" si="22"/>
        <v>0</v>
      </c>
      <c r="I228" t="s">
        <v>273</v>
      </c>
      <c r="J228" t="s">
        <v>28</v>
      </c>
      <c r="K228">
        <v>1</v>
      </c>
      <c r="L228" s="31">
        <f t="shared" si="20"/>
        <v>2610.09</v>
      </c>
      <c r="M228">
        <v>0</v>
      </c>
      <c r="N228" s="31">
        <f t="shared" si="23"/>
        <v>0</v>
      </c>
      <c r="O228" s="34">
        <v>1</v>
      </c>
      <c r="P228" s="35">
        <v>2610.09</v>
      </c>
      <c r="Q228" s="36">
        <v>2610.09</v>
      </c>
      <c r="R228" s="37">
        <f t="shared" si="24"/>
        <v>2610.09</v>
      </c>
    </row>
    <row r="229" spans="1:19" s="1" customFormat="1" ht="15" x14ac:dyDescent="0.25">
      <c r="A229" s="27" t="s">
        <v>25</v>
      </c>
      <c r="B229" s="28" t="s">
        <v>45</v>
      </c>
      <c r="C229" s="29" t="s">
        <v>274</v>
      </c>
      <c r="D229" s="30">
        <v>699.86010000000056</v>
      </c>
      <c r="E229" s="38">
        <f t="shared" si="25"/>
        <v>699.86659999999983</v>
      </c>
      <c r="F229" s="32">
        <f>1.99998*P229</f>
        <v>699.85960133399988</v>
      </c>
      <c r="G229" s="32">
        <f t="shared" si="21"/>
        <v>699.86709866600052</v>
      </c>
      <c r="H229" s="33">
        <f t="shared" si="22"/>
        <v>4.9866600068071421E-4</v>
      </c>
      <c r="I229" t="s">
        <v>274</v>
      </c>
      <c r="J229" t="s">
        <v>28</v>
      </c>
      <c r="K229">
        <v>2</v>
      </c>
      <c r="L229" s="31">
        <f t="shared" si="20"/>
        <v>699.86659999999983</v>
      </c>
      <c r="M229">
        <v>0</v>
      </c>
      <c r="N229" s="31">
        <f t="shared" si="23"/>
        <v>0</v>
      </c>
      <c r="O229" s="34">
        <v>2</v>
      </c>
      <c r="P229" s="35">
        <v>349.93329999999992</v>
      </c>
      <c r="Q229" s="36">
        <v>699.86659999999983</v>
      </c>
      <c r="R229" s="37">
        <f t="shared" si="24"/>
        <v>699.86659999999983</v>
      </c>
    </row>
    <row r="230" spans="1:19" s="1" customFormat="1" ht="15" x14ac:dyDescent="0.25">
      <c r="A230" s="27" t="s">
        <v>25</v>
      </c>
      <c r="B230" s="28" t="s">
        <v>45</v>
      </c>
      <c r="C230" s="29" t="s">
        <v>275</v>
      </c>
      <c r="D230" s="30">
        <v>1065</v>
      </c>
      <c r="E230" s="38">
        <f t="shared" si="25"/>
        <v>1065</v>
      </c>
      <c r="F230" s="32">
        <f>3*P230</f>
        <v>1065</v>
      </c>
      <c r="G230" s="32">
        <f t="shared" si="21"/>
        <v>1065</v>
      </c>
      <c r="H230" s="33">
        <f t="shared" si="22"/>
        <v>0</v>
      </c>
      <c r="I230" t="s">
        <v>275</v>
      </c>
      <c r="J230" t="s">
        <v>28</v>
      </c>
      <c r="K230">
        <v>3</v>
      </c>
      <c r="L230" s="31">
        <f t="shared" si="20"/>
        <v>1065</v>
      </c>
      <c r="M230">
        <v>0</v>
      </c>
      <c r="N230" s="31">
        <f t="shared" si="23"/>
        <v>0</v>
      </c>
      <c r="O230" s="34">
        <v>3</v>
      </c>
      <c r="P230" s="35">
        <v>355</v>
      </c>
      <c r="Q230" s="36">
        <v>1065</v>
      </c>
      <c r="R230" s="37">
        <f t="shared" si="24"/>
        <v>1065</v>
      </c>
    </row>
    <row r="231" spans="1:19" s="1" customFormat="1" ht="15" x14ac:dyDescent="0.25">
      <c r="A231" s="27" t="s">
        <v>25</v>
      </c>
      <c r="B231" s="28" t="s">
        <v>45</v>
      </c>
      <c r="C231" s="29" t="s">
        <v>276</v>
      </c>
      <c r="D231" s="30">
        <v>477.56180000000001</v>
      </c>
      <c r="E231" s="38">
        <f t="shared" si="25"/>
        <v>477.56819999999999</v>
      </c>
      <c r="F231" s="32">
        <f>1.99997*P231</f>
        <v>477.56103647700002</v>
      </c>
      <c r="G231" s="32">
        <f t="shared" si="21"/>
        <v>477.56896352299998</v>
      </c>
      <c r="H231" s="33">
        <f t="shared" si="22"/>
        <v>7.6352299998916351E-4</v>
      </c>
      <c r="I231" t="s">
        <v>276</v>
      </c>
      <c r="J231" t="s">
        <v>28</v>
      </c>
      <c r="K231">
        <v>2</v>
      </c>
      <c r="L231" s="31">
        <f t="shared" si="20"/>
        <v>477.56819999999999</v>
      </c>
      <c r="M231">
        <v>0</v>
      </c>
      <c r="N231" s="31">
        <f t="shared" si="23"/>
        <v>0</v>
      </c>
      <c r="O231" s="34">
        <v>2</v>
      </c>
      <c r="P231" s="35">
        <v>238.7841</v>
      </c>
      <c r="Q231" s="36">
        <v>477.56819999999999</v>
      </c>
      <c r="R231" s="37">
        <f t="shared" si="24"/>
        <v>477.56819999999999</v>
      </c>
    </row>
    <row r="232" spans="1:19" s="1" customFormat="1" ht="15" x14ac:dyDescent="0.25">
      <c r="A232" s="27" t="s">
        <v>25</v>
      </c>
      <c r="B232" s="28" t="s">
        <v>45</v>
      </c>
      <c r="C232" s="29" t="s">
        <v>277</v>
      </c>
      <c r="D232" s="30">
        <v>33122.335000000006</v>
      </c>
      <c r="E232" s="38">
        <f t="shared" si="25"/>
        <v>33122.288400000005</v>
      </c>
      <c r="F232" s="32">
        <f>7.000008*P232</f>
        <v>38642.713963051203</v>
      </c>
      <c r="G232" s="32">
        <f t="shared" si="21"/>
        <v>27601.909436948808</v>
      </c>
      <c r="H232" s="33">
        <f t="shared" si="22"/>
        <v>2.4369488055526745E-3</v>
      </c>
      <c r="I232" t="s">
        <v>277</v>
      </c>
      <c r="J232" t="s">
        <v>28</v>
      </c>
      <c r="K232">
        <v>6</v>
      </c>
      <c r="L232" s="31">
        <f t="shared" si="20"/>
        <v>33122.288400000005</v>
      </c>
      <c r="M232">
        <v>1</v>
      </c>
      <c r="N232" s="31">
        <f t="shared" si="23"/>
        <v>5520.3814000000002</v>
      </c>
      <c r="O232" s="34">
        <v>5</v>
      </c>
      <c r="P232" s="35">
        <v>5520.3814000000002</v>
      </c>
      <c r="Q232" s="36">
        <v>27601.907000000003</v>
      </c>
      <c r="R232" s="37">
        <f t="shared" si="24"/>
        <v>27601.907000000007</v>
      </c>
    </row>
    <row r="233" spans="1:19" s="1" customFormat="1" ht="15" x14ac:dyDescent="0.25">
      <c r="A233" s="27" t="s">
        <v>25</v>
      </c>
      <c r="B233" s="28" t="s">
        <v>45</v>
      </c>
      <c r="C233" s="29" t="s">
        <v>278</v>
      </c>
      <c r="D233" s="30">
        <v>38865.74500000001</v>
      </c>
      <c r="E233" s="38">
        <f t="shared" si="25"/>
        <v>38865.697500000002</v>
      </c>
      <c r="F233" s="32">
        <f>8.000008*P233</f>
        <v>44417.984417939995</v>
      </c>
      <c r="G233" s="32">
        <f t="shared" si="21"/>
        <v>33313.458082060009</v>
      </c>
      <c r="H233" s="33">
        <f t="shared" si="22"/>
        <v>3.0820600077277049E-3</v>
      </c>
      <c r="I233" t="s">
        <v>278</v>
      </c>
      <c r="J233" t="s">
        <v>28</v>
      </c>
      <c r="K233">
        <v>7</v>
      </c>
      <c r="L233" s="31">
        <f t="shared" si="20"/>
        <v>38865.697500000002</v>
      </c>
      <c r="M233">
        <v>1</v>
      </c>
      <c r="N233" s="31">
        <f t="shared" si="23"/>
        <v>5552.2425000000003</v>
      </c>
      <c r="O233" s="34">
        <v>6</v>
      </c>
      <c r="P233" s="35">
        <v>5552.2425000000003</v>
      </c>
      <c r="Q233" s="36">
        <v>33313.455000000002</v>
      </c>
      <c r="R233" s="37">
        <f t="shared" si="24"/>
        <v>33313.455000000002</v>
      </c>
    </row>
    <row r="234" spans="1:19" s="1" customFormat="1" ht="15" x14ac:dyDescent="0.25">
      <c r="A234" s="27" t="s">
        <v>25</v>
      </c>
      <c r="B234" s="28" t="s">
        <v>45</v>
      </c>
      <c r="C234" s="29" t="s">
        <v>279</v>
      </c>
      <c r="D234" s="30">
        <v>35881.438899999979</v>
      </c>
      <c r="E234" s="38">
        <f t="shared" si="25"/>
        <v>35881.419000000002</v>
      </c>
      <c r="F234" s="32">
        <f>8.000003*P234</f>
        <v>41007.351377751002</v>
      </c>
      <c r="G234" s="32">
        <f t="shared" si="21"/>
        <v>30755.506522248972</v>
      </c>
      <c r="H234" s="33">
        <f t="shared" si="22"/>
        <v>4.5222489716252312E-3</v>
      </c>
      <c r="I234" t="s">
        <v>279</v>
      </c>
      <c r="J234" t="s">
        <v>28</v>
      </c>
      <c r="K234">
        <v>7</v>
      </c>
      <c r="L234" s="31">
        <f t="shared" si="20"/>
        <v>35881.419000000002</v>
      </c>
      <c r="M234">
        <v>1</v>
      </c>
      <c r="N234" s="31">
        <f t="shared" si="23"/>
        <v>5125.9170000000004</v>
      </c>
      <c r="O234" s="34">
        <v>6</v>
      </c>
      <c r="P234" s="35">
        <v>5125.9170000000004</v>
      </c>
      <c r="Q234" s="36">
        <v>30755.502</v>
      </c>
      <c r="R234" s="37">
        <f t="shared" si="24"/>
        <v>30755.502</v>
      </c>
    </row>
    <row r="235" spans="1:19" s="1" customFormat="1" ht="15" x14ac:dyDescent="0.25">
      <c r="A235" s="27" t="s">
        <v>25</v>
      </c>
      <c r="B235" s="28" t="s">
        <v>45</v>
      </c>
      <c r="C235" s="29" t="s">
        <v>280</v>
      </c>
      <c r="D235" s="30">
        <v>33430.744000000006</v>
      </c>
      <c r="E235" s="38">
        <f t="shared" si="25"/>
        <v>33430.770000000004</v>
      </c>
      <c r="F235" s="32">
        <f>5.999995*P235</f>
        <v>33430.742141025003</v>
      </c>
      <c r="G235" s="32">
        <f t="shared" si="21"/>
        <v>33430.771858975007</v>
      </c>
      <c r="H235" s="33">
        <f t="shared" si="22"/>
        <v>1.8589750106912106E-3</v>
      </c>
      <c r="I235" t="s">
        <v>280</v>
      </c>
      <c r="J235" t="s">
        <v>28</v>
      </c>
      <c r="K235">
        <v>6</v>
      </c>
      <c r="L235" s="31">
        <f t="shared" si="20"/>
        <v>33430.770000000004</v>
      </c>
      <c r="M235">
        <v>0</v>
      </c>
      <c r="N235" s="31">
        <f t="shared" si="23"/>
        <v>0</v>
      </c>
      <c r="O235" s="34">
        <v>6</v>
      </c>
      <c r="P235" s="35">
        <v>5571.7950000000001</v>
      </c>
      <c r="Q235" s="36">
        <v>33430.769999999997</v>
      </c>
      <c r="R235" s="37">
        <f t="shared" si="24"/>
        <v>33430.770000000004</v>
      </c>
    </row>
    <row r="236" spans="1:19" s="1" customFormat="1" ht="15" x14ac:dyDescent="0.25">
      <c r="A236" s="27" t="s">
        <v>25</v>
      </c>
      <c r="B236" s="28" t="s">
        <v>45</v>
      </c>
      <c r="C236" s="29" t="s">
        <v>281</v>
      </c>
      <c r="D236" s="30">
        <v>190544.76050000006</v>
      </c>
      <c r="E236" s="38">
        <f t="shared" si="25"/>
        <v>190544.81040000002</v>
      </c>
      <c r="F236" s="32">
        <f>27.999993*P236</f>
        <v>190544.76276379739</v>
      </c>
      <c r="G236" s="32">
        <f t="shared" si="21"/>
        <v>190544.80813620266</v>
      </c>
      <c r="H236" s="33">
        <f t="shared" si="22"/>
        <v>-2.2637973597738892E-3</v>
      </c>
      <c r="I236" t="s">
        <v>281</v>
      </c>
      <c r="J236" t="s">
        <v>59</v>
      </c>
      <c r="K236">
        <v>28</v>
      </c>
      <c r="L236" s="31">
        <f t="shared" si="20"/>
        <v>190544.81040000002</v>
      </c>
      <c r="M236">
        <v>0</v>
      </c>
      <c r="N236" s="31">
        <f t="shared" si="23"/>
        <v>0</v>
      </c>
      <c r="O236" s="34">
        <v>28</v>
      </c>
      <c r="P236" s="35">
        <v>6805.1718000000001</v>
      </c>
      <c r="Q236" s="36">
        <v>190544.81040000002</v>
      </c>
      <c r="R236" s="37">
        <f t="shared" si="24"/>
        <v>190544.81040000002</v>
      </c>
    </row>
    <row r="237" spans="1:19" s="1" customFormat="1" ht="15" x14ac:dyDescent="0.25">
      <c r="A237" s="27" t="s">
        <v>25</v>
      </c>
      <c r="B237" s="28" t="s">
        <v>45</v>
      </c>
      <c r="C237" s="29" t="s">
        <v>282</v>
      </c>
      <c r="D237" s="30">
        <v>151867.54079999999</v>
      </c>
      <c r="E237" s="38">
        <f t="shared" si="25"/>
        <v>167854.21919999999</v>
      </c>
      <c r="F237" s="32">
        <f>22.714205*P237</f>
        <v>158861.46437598899</v>
      </c>
      <c r="G237" s="32">
        <f t="shared" si="21"/>
        <v>160860.29562401102</v>
      </c>
      <c r="H237" s="33">
        <f t="shared" si="22"/>
        <v>2.2240110265556723E-3</v>
      </c>
      <c r="I237" t="s">
        <v>282</v>
      </c>
      <c r="J237" t="s">
        <v>59</v>
      </c>
      <c r="K237">
        <v>24</v>
      </c>
      <c r="L237" s="31">
        <f t="shared" si="20"/>
        <v>167854.21919999999</v>
      </c>
      <c r="M237">
        <v>1</v>
      </c>
      <c r="N237" s="31">
        <f t="shared" si="23"/>
        <v>6993.9258</v>
      </c>
      <c r="O237" s="34">
        <v>23</v>
      </c>
      <c r="P237" s="35">
        <v>6993.9258</v>
      </c>
      <c r="Q237" s="36">
        <v>160860.2934</v>
      </c>
      <c r="R237" s="37">
        <f t="shared" si="24"/>
        <v>160860.2934</v>
      </c>
    </row>
    <row r="238" spans="1:19" s="1" customFormat="1" ht="15" x14ac:dyDescent="0.25">
      <c r="A238" s="27" t="s">
        <v>25</v>
      </c>
      <c r="B238" s="28" t="s">
        <v>45</v>
      </c>
      <c r="C238" s="29" t="s">
        <v>283</v>
      </c>
      <c r="D238" s="30">
        <v>154484.88279999996</v>
      </c>
      <c r="E238" s="38">
        <f t="shared" si="25"/>
        <v>154484.88880000002</v>
      </c>
      <c r="F238" s="32">
        <f>21.999999*P238</f>
        <v>154484.88177795961</v>
      </c>
      <c r="G238" s="32">
        <f t="shared" si="21"/>
        <v>154484.88982204036</v>
      </c>
      <c r="H238" s="33">
        <f t="shared" si="22"/>
        <v>1.0220403491985053E-3</v>
      </c>
      <c r="I238" t="s">
        <v>283</v>
      </c>
      <c r="J238" t="s">
        <v>59</v>
      </c>
      <c r="K238">
        <v>22</v>
      </c>
      <c r="L238" s="31">
        <f t="shared" si="20"/>
        <v>154484.88880000002</v>
      </c>
      <c r="M238">
        <v>0</v>
      </c>
      <c r="N238" s="31">
        <f t="shared" si="23"/>
        <v>0</v>
      </c>
      <c r="O238" s="34">
        <v>22</v>
      </c>
      <c r="P238" s="35">
        <v>7022.0404000000008</v>
      </c>
      <c r="Q238" s="36">
        <v>154484.88880000002</v>
      </c>
      <c r="R238" s="37">
        <f t="shared" si="24"/>
        <v>154484.88880000002</v>
      </c>
    </row>
    <row r="239" spans="1:19" s="1" customFormat="1" ht="15" x14ac:dyDescent="0.25">
      <c r="A239" s="27" t="s">
        <v>25</v>
      </c>
      <c r="B239" s="28" t="s">
        <v>45</v>
      </c>
      <c r="C239" s="29" t="s">
        <v>284</v>
      </c>
      <c r="D239" s="30">
        <v>95246.999999999971</v>
      </c>
      <c r="E239" s="38">
        <f t="shared" si="25"/>
        <v>95247.068400000004</v>
      </c>
      <c r="F239" s="32">
        <f>18.999987*P239</f>
        <v>100538.50341045062</v>
      </c>
      <c r="G239" s="32">
        <f t="shared" si="21"/>
        <v>89955.56498954937</v>
      </c>
      <c r="H239" s="33">
        <f t="shared" si="22"/>
        <v>3.8954935735091567E-4</v>
      </c>
      <c r="I239" t="s">
        <v>284</v>
      </c>
      <c r="J239" t="s">
        <v>28</v>
      </c>
      <c r="K239">
        <v>18</v>
      </c>
      <c r="L239" s="31">
        <f t="shared" si="20"/>
        <v>95247.068400000004</v>
      </c>
      <c r="M239">
        <v>1</v>
      </c>
      <c r="N239" s="31">
        <f t="shared" si="23"/>
        <v>5291.5038000000004</v>
      </c>
      <c r="O239" s="34">
        <v>17</v>
      </c>
      <c r="P239" s="35">
        <v>5291.5038000000004</v>
      </c>
      <c r="Q239" s="36">
        <v>89955.564600000012</v>
      </c>
      <c r="R239" s="37">
        <f t="shared" si="24"/>
        <v>89955.564599999998</v>
      </c>
    </row>
    <row r="240" spans="1:19" s="1" customFormat="1" ht="15" x14ac:dyDescent="0.25">
      <c r="A240" s="27" t="s">
        <v>25</v>
      </c>
      <c r="B240" s="28" t="s">
        <v>45</v>
      </c>
      <c r="C240" s="29" t="s">
        <v>285</v>
      </c>
      <c r="D240" s="30">
        <v>53888.245599999995</v>
      </c>
      <c r="E240" s="38">
        <f t="shared" si="25"/>
        <v>53888.178499999995</v>
      </c>
      <c r="F240" s="32">
        <f>13.000015*P240</f>
        <v>53888.240678667498</v>
      </c>
      <c r="G240" s="32">
        <f t="shared" si="21"/>
        <v>53888.183421332491</v>
      </c>
      <c r="H240" s="33">
        <f t="shared" si="22"/>
        <v>4.9213325037271716E-3</v>
      </c>
      <c r="I240" t="s">
        <v>285</v>
      </c>
      <c r="J240" t="s">
        <v>28</v>
      </c>
      <c r="K240">
        <v>13</v>
      </c>
      <c r="L240" s="31">
        <f t="shared" si="20"/>
        <v>53888.178499999995</v>
      </c>
      <c r="M240">
        <v>0</v>
      </c>
      <c r="N240" s="31">
        <f t="shared" si="23"/>
        <v>0</v>
      </c>
      <c r="O240" s="34">
        <v>13</v>
      </c>
      <c r="P240" s="35">
        <v>4145.2444999999998</v>
      </c>
      <c r="Q240" s="36">
        <v>53888.178499999987</v>
      </c>
      <c r="R240" s="37">
        <f t="shared" si="24"/>
        <v>53888.178499999995</v>
      </c>
      <c r="S240" s="3"/>
    </row>
    <row r="241" spans="1:19" s="1" customFormat="1" ht="15" x14ac:dyDescent="0.25">
      <c r="A241" s="27" t="s">
        <v>25</v>
      </c>
      <c r="B241" s="28" t="s">
        <v>45</v>
      </c>
      <c r="C241" s="29" t="s">
        <v>286</v>
      </c>
      <c r="D241" s="30">
        <v>40243.209399999992</v>
      </c>
      <c r="E241" s="38">
        <f t="shared" si="25"/>
        <v>40243.191099999996</v>
      </c>
      <c r="F241" s="32">
        <f>10.000003*P241</f>
        <v>57490.290247081895</v>
      </c>
      <c r="G241" s="32">
        <f t="shared" si="21"/>
        <v>22996.110252918093</v>
      </c>
      <c r="H241" s="33">
        <f t="shared" si="22"/>
        <v>1.052918094501365E-3</v>
      </c>
      <c r="I241" t="s">
        <v>286</v>
      </c>
      <c r="J241" t="s">
        <v>287</v>
      </c>
      <c r="K241">
        <v>7</v>
      </c>
      <c r="L241" s="31">
        <f t="shared" si="20"/>
        <v>40243.191099999996</v>
      </c>
      <c r="M241">
        <v>3</v>
      </c>
      <c r="N241" s="31">
        <f t="shared" si="23"/>
        <v>17247.081899999997</v>
      </c>
      <c r="O241" s="34">
        <v>4</v>
      </c>
      <c r="P241" s="35">
        <v>5749.0272999999997</v>
      </c>
      <c r="Q241" s="36">
        <v>22996.109199999999</v>
      </c>
      <c r="R241" s="37">
        <f t="shared" si="24"/>
        <v>22996.109199999999</v>
      </c>
      <c r="S241" s="3"/>
    </row>
    <row r="242" spans="1:19" s="1" customFormat="1" ht="15" x14ac:dyDescent="0.25">
      <c r="A242" s="27" t="s">
        <v>25</v>
      </c>
      <c r="B242" s="28" t="s">
        <v>45</v>
      </c>
      <c r="C242" s="29" t="s">
        <v>288</v>
      </c>
      <c r="D242" s="30">
        <v>38408.403800000015</v>
      </c>
      <c r="E242" s="38">
        <f t="shared" si="25"/>
        <v>38408.425200000005</v>
      </c>
      <c r="F242" s="32">
        <f>6.999996*P242</f>
        <v>44809.80379438321</v>
      </c>
      <c r="G242" s="32">
        <f t="shared" si="21"/>
        <v>32007.025205616817</v>
      </c>
      <c r="H242" s="33">
        <f t="shared" si="22"/>
        <v>4.2056168167619035E-3</v>
      </c>
      <c r="I242" t="s">
        <v>288</v>
      </c>
      <c r="J242" t="s">
        <v>287</v>
      </c>
      <c r="K242">
        <v>6</v>
      </c>
      <c r="L242" s="31">
        <f t="shared" si="20"/>
        <v>38408.425200000005</v>
      </c>
      <c r="M242">
        <v>1</v>
      </c>
      <c r="N242" s="31">
        <f t="shared" si="23"/>
        <v>6401.4042000000009</v>
      </c>
      <c r="O242" s="34">
        <v>5</v>
      </c>
      <c r="P242" s="35">
        <v>6401.4042000000009</v>
      </c>
      <c r="Q242" s="36">
        <v>32007.021000000001</v>
      </c>
      <c r="R242" s="37">
        <f t="shared" si="24"/>
        <v>32007.021000000004</v>
      </c>
      <c r="S242" s="3"/>
    </row>
    <row r="243" spans="1:19" s="1" customFormat="1" ht="15" x14ac:dyDescent="0.25">
      <c r="A243" s="27" t="s">
        <v>25</v>
      </c>
      <c r="B243" s="28" t="s">
        <v>45</v>
      </c>
      <c r="C243" s="29" t="s">
        <v>289</v>
      </c>
      <c r="D243" s="30">
        <v>35191.04800000001</v>
      </c>
      <c r="E243" s="38">
        <f t="shared" si="25"/>
        <v>35191.040999999997</v>
      </c>
      <c r="F243" s="32">
        <f>7.000001*P243</f>
        <v>49267.464438208197</v>
      </c>
      <c r="G243" s="32">
        <f t="shared" si="21"/>
        <v>21114.62456179181</v>
      </c>
      <c r="H243" s="33">
        <f t="shared" si="22"/>
        <v>-3.8208185287658125E-5</v>
      </c>
      <c r="I243" t="s">
        <v>289</v>
      </c>
      <c r="J243" t="s">
        <v>287</v>
      </c>
      <c r="K243">
        <v>5</v>
      </c>
      <c r="L243" s="31">
        <f t="shared" si="20"/>
        <v>35191.040999999997</v>
      </c>
      <c r="M243">
        <v>2</v>
      </c>
      <c r="N243" s="31">
        <f t="shared" si="23"/>
        <v>14076.416399999998</v>
      </c>
      <c r="O243" s="34">
        <v>3</v>
      </c>
      <c r="P243" s="35">
        <v>7038.2081999999991</v>
      </c>
      <c r="Q243" s="36">
        <v>21114.624599999996</v>
      </c>
      <c r="R243" s="37">
        <f t="shared" si="24"/>
        <v>21114.624599999999</v>
      </c>
      <c r="S243" s="3"/>
    </row>
    <row r="244" spans="1:19" s="1" customFormat="1" ht="15" x14ac:dyDescent="0.25">
      <c r="A244" s="27" t="s">
        <v>25</v>
      </c>
      <c r="B244" s="28" t="s">
        <v>45</v>
      </c>
      <c r="C244" s="29" t="s">
        <v>290</v>
      </c>
      <c r="D244" s="30">
        <v>7088</v>
      </c>
      <c r="E244" s="38">
        <f t="shared" si="25"/>
        <v>22354.86</v>
      </c>
      <c r="F244" s="32">
        <f>1.951202*P244</f>
        <v>14539.61584724</v>
      </c>
      <c r="G244" s="32">
        <f t="shared" si="21"/>
        <v>14903.24415276</v>
      </c>
      <c r="H244" s="33">
        <f t="shared" si="22"/>
        <v>4.152760000579292E-3</v>
      </c>
      <c r="I244" t="s">
        <v>290</v>
      </c>
      <c r="J244" t="s">
        <v>287</v>
      </c>
      <c r="K244">
        <v>3</v>
      </c>
      <c r="L244" s="31">
        <f t="shared" si="20"/>
        <v>22354.86</v>
      </c>
      <c r="M244">
        <v>1</v>
      </c>
      <c r="N244" s="31">
        <f t="shared" si="23"/>
        <v>7451.62</v>
      </c>
      <c r="O244" s="34">
        <v>2</v>
      </c>
      <c r="P244" s="35">
        <v>7451.62</v>
      </c>
      <c r="Q244" s="36">
        <v>14903.24</v>
      </c>
      <c r="R244" s="37">
        <f t="shared" si="24"/>
        <v>14903.240000000002</v>
      </c>
      <c r="S244" s="3"/>
    </row>
    <row r="245" spans="1:19" s="1" customFormat="1" ht="15.75" x14ac:dyDescent="0.25">
      <c r="A245" s="27" t="s">
        <v>25</v>
      </c>
      <c r="B245" s="28" t="s">
        <v>45</v>
      </c>
      <c r="C245" s="29" t="s">
        <v>291</v>
      </c>
      <c r="D245" s="30">
        <v>80024.032800000045</v>
      </c>
      <c r="E245" s="38">
        <f t="shared" si="25"/>
        <v>113459.09079999999</v>
      </c>
      <c r="F245" s="32">
        <f>21.516859*P245</f>
        <v>110967.4208641726</v>
      </c>
      <c r="G245" s="32">
        <f t="shared" si="21"/>
        <v>82515.70273582745</v>
      </c>
      <c r="H245" s="33">
        <f t="shared" si="22"/>
        <v>3.3582746982574463E-4</v>
      </c>
      <c r="I245" t="s">
        <v>291</v>
      </c>
      <c r="J245" t="s">
        <v>28</v>
      </c>
      <c r="K245">
        <v>22</v>
      </c>
      <c r="L245" s="31">
        <f t="shared" si="20"/>
        <v>113459.09079999999</v>
      </c>
      <c r="M245">
        <v>6</v>
      </c>
      <c r="N245" s="31">
        <f t="shared" si="23"/>
        <v>30943.388399999996</v>
      </c>
      <c r="O245" s="34">
        <v>16</v>
      </c>
      <c r="P245" s="35">
        <v>5157.2313999999997</v>
      </c>
      <c r="Q245" s="36">
        <v>82515.70239999998</v>
      </c>
      <c r="R245" s="37">
        <f t="shared" si="24"/>
        <v>82515.702399999995</v>
      </c>
      <c r="S245" s="43"/>
    </row>
    <row r="246" spans="1:19" s="1" customFormat="1" ht="15.75" x14ac:dyDescent="0.25">
      <c r="A246" s="27" t="s">
        <v>25</v>
      </c>
      <c r="B246" s="28" t="s">
        <v>45</v>
      </c>
      <c r="C246" s="29" t="s">
        <v>292</v>
      </c>
      <c r="D246" s="30">
        <v>78155.803700000048</v>
      </c>
      <c r="E246" s="38">
        <f t="shared" si="25"/>
        <v>78155.820000000007</v>
      </c>
      <c r="F246" s="32">
        <f>9.999998*P246</f>
        <v>97694.755461045002</v>
      </c>
      <c r="G246" s="32">
        <f t="shared" si="21"/>
        <v>58616.868238955052</v>
      </c>
      <c r="H246" s="33">
        <f t="shared" si="22"/>
        <v>3.2389550397056155E-3</v>
      </c>
      <c r="I246" t="s">
        <v>292</v>
      </c>
      <c r="J246" t="s">
        <v>293</v>
      </c>
      <c r="K246">
        <v>8</v>
      </c>
      <c r="L246" s="31">
        <f t="shared" si="20"/>
        <v>78155.820000000007</v>
      </c>
      <c r="M246">
        <v>2</v>
      </c>
      <c r="N246" s="31">
        <f t="shared" si="23"/>
        <v>19538.955000000002</v>
      </c>
      <c r="O246" s="34">
        <v>6</v>
      </c>
      <c r="P246" s="35">
        <v>9769.4775000000009</v>
      </c>
      <c r="Q246" s="36">
        <v>58616.865000000013</v>
      </c>
      <c r="R246" s="37">
        <f t="shared" si="24"/>
        <v>58616.865000000005</v>
      </c>
      <c r="S246" s="43"/>
    </row>
    <row r="247" spans="1:19" s="1" customFormat="1" ht="15.75" x14ac:dyDescent="0.25">
      <c r="A247" s="27" t="s">
        <v>25</v>
      </c>
      <c r="B247" s="28" t="s">
        <v>45</v>
      </c>
      <c r="C247" s="29" t="s">
        <v>294</v>
      </c>
      <c r="D247" s="30">
        <v>62826.238799999992</v>
      </c>
      <c r="E247" s="38">
        <f t="shared" si="25"/>
        <v>62826.219500000007</v>
      </c>
      <c r="F247" s="32">
        <f>18.000004*P247</f>
        <v>102806.56384589801</v>
      </c>
      <c r="G247" s="32">
        <f t="shared" si="21"/>
        <v>22845.894454101988</v>
      </c>
      <c r="H247" s="33">
        <f t="shared" si="22"/>
        <v>-3.545898012816906E-3</v>
      </c>
      <c r="I247" t="s">
        <v>294</v>
      </c>
      <c r="J247" t="s">
        <v>59</v>
      </c>
      <c r="K247">
        <v>11</v>
      </c>
      <c r="L247" s="31">
        <f t="shared" si="20"/>
        <v>62826.219500000007</v>
      </c>
      <c r="M247">
        <v>7</v>
      </c>
      <c r="N247" s="31">
        <f t="shared" si="23"/>
        <v>39980.321500000005</v>
      </c>
      <c r="O247" s="34">
        <v>4</v>
      </c>
      <c r="P247" s="35">
        <v>5711.4745000000003</v>
      </c>
      <c r="Q247" s="36">
        <v>22845.898000000001</v>
      </c>
      <c r="R247" s="37">
        <f t="shared" si="24"/>
        <v>22845.898000000001</v>
      </c>
      <c r="S247" s="43"/>
    </row>
    <row r="248" spans="1:19" s="1" customFormat="1" ht="15.75" x14ac:dyDescent="0.25">
      <c r="A248" s="27" t="s">
        <v>25</v>
      </c>
      <c r="B248" s="28" t="s">
        <v>45</v>
      </c>
      <c r="C248" s="29" t="s">
        <v>295</v>
      </c>
      <c r="D248" s="30">
        <v>14546.699999999997</v>
      </c>
      <c r="E248" s="38">
        <f t="shared" si="25"/>
        <v>14546.685000000001</v>
      </c>
      <c r="F248" s="32">
        <f>3.000003*P248</f>
        <v>14546.699546685</v>
      </c>
      <c r="G248" s="32">
        <f t="shared" si="21"/>
        <v>14546.685453314998</v>
      </c>
      <c r="H248" s="33">
        <f t="shared" si="22"/>
        <v>4.5331499495659955E-4</v>
      </c>
      <c r="I248" t="s">
        <v>295</v>
      </c>
      <c r="J248" t="s">
        <v>28</v>
      </c>
      <c r="K248">
        <v>3</v>
      </c>
      <c r="L248" s="31">
        <f t="shared" si="20"/>
        <v>14546.685000000001</v>
      </c>
      <c r="M248">
        <v>0</v>
      </c>
      <c r="N248" s="31">
        <f t="shared" si="23"/>
        <v>0</v>
      </c>
      <c r="O248" s="34">
        <v>3</v>
      </c>
      <c r="P248" s="35">
        <v>4848.8950000000004</v>
      </c>
      <c r="Q248" s="36">
        <v>14546.685000000003</v>
      </c>
      <c r="R248" s="37">
        <f t="shared" si="24"/>
        <v>14546.685000000001</v>
      </c>
      <c r="S248" s="43"/>
    </row>
    <row r="249" spans="1:19" s="1" customFormat="1" ht="15.75" x14ac:dyDescent="0.25">
      <c r="A249" s="27" t="s">
        <v>25</v>
      </c>
      <c r="B249" s="28" t="s">
        <v>45</v>
      </c>
      <c r="C249" s="29" t="s">
        <v>296</v>
      </c>
      <c r="D249" s="30">
        <v>21714.259999999995</v>
      </c>
      <c r="E249" s="38">
        <f t="shared" si="25"/>
        <v>21714.263999999999</v>
      </c>
      <c r="F249" s="32">
        <f>4*P249</f>
        <v>21714.263999999999</v>
      </c>
      <c r="G249" s="32">
        <f t="shared" si="21"/>
        <v>21714.259999999991</v>
      </c>
      <c r="H249" s="33">
        <f t="shared" si="22"/>
        <v>-4.0000000080908649E-3</v>
      </c>
      <c r="I249" t="s">
        <v>296</v>
      </c>
      <c r="J249" t="s">
        <v>28</v>
      </c>
      <c r="K249">
        <v>4</v>
      </c>
      <c r="L249" s="31">
        <f t="shared" si="20"/>
        <v>21714.263999999999</v>
      </c>
      <c r="M249">
        <v>0</v>
      </c>
      <c r="N249" s="31">
        <f t="shared" si="23"/>
        <v>0</v>
      </c>
      <c r="O249" s="34">
        <v>4</v>
      </c>
      <c r="P249" s="35">
        <v>5428.5659999999998</v>
      </c>
      <c r="Q249" s="36">
        <v>21714.263999999999</v>
      </c>
      <c r="R249" s="37">
        <f t="shared" si="24"/>
        <v>21714.263999999999</v>
      </c>
      <c r="S249" s="43"/>
    </row>
    <row r="250" spans="1:19" s="1" customFormat="1" ht="15.75" x14ac:dyDescent="0.25">
      <c r="A250" s="27" t="s">
        <v>25</v>
      </c>
      <c r="B250" s="28" t="s">
        <v>45</v>
      </c>
      <c r="C250" s="29" t="s">
        <v>297</v>
      </c>
      <c r="D250" s="30">
        <v>16216.170000000002</v>
      </c>
      <c r="E250" s="38">
        <f t="shared" si="25"/>
        <v>16216.162499999999</v>
      </c>
      <c r="F250" s="32">
        <f>3.000001*P250</f>
        <v>16216.1679053875</v>
      </c>
      <c r="G250" s="32">
        <f t="shared" si="21"/>
        <v>16216.164594612501</v>
      </c>
      <c r="H250" s="33">
        <f t="shared" si="22"/>
        <v>2.0946125005139038E-3</v>
      </c>
      <c r="I250" t="s">
        <v>297</v>
      </c>
      <c r="J250" t="s">
        <v>28</v>
      </c>
      <c r="K250">
        <v>3</v>
      </c>
      <c r="L250" s="31">
        <f t="shared" si="20"/>
        <v>16216.162499999999</v>
      </c>
      <c r="M250">
        <v>0</v>
      </c>
      <c r="N250" s="31">
        <f t="shared" si="23"/>
        <v>0</v>
      </c>
      <c r="O250" s="34">
        <v>3</v>
      </c>
      <c r="P250" s="35">
        <v>5405.3874999999998</v>
      </c>
      <c r="Q250" s="36">
        <v>16216.1625</v>
      </c>
      <c r="R250" s="37">
        <f t="shared" si="24"/>
        <v>16216.162499999999</v>
      </c>
      <c r="S250" s="43"/>
    </row>
    <row r="251" spans="1:19" s="1" customFormat="1" ht="15.75" x14ac:dyDescent="0.25">
      <c r="A251" s="27" t="s">
        <v>25</v>
      </c>
      <c r="B251" s="28" t="s">
        <v>45</v>
      </c>
      <c r="C251" s="29" t="s">
        <v>298</v>
      </c>
      <c r="D251" s="30">
        <v>22117.16</v>
      </c>
      <c r="E251" s="38">
        <f t="shared" si="25"/>
        <v>22117.16</v>
      </c>
      <c r="F251" s="32">
        <f>4*P251</f>
        <v>22117.16</v>
      </c>
      <c r="G251" s="32">
        <f t="shared" si="21"/>
        <v>22117.16</v>
      </c>
      <c r="H251" s="33">
        <f t="shared" si="22"/>
        <v>0</v>
      </c>
      <c r="I251" t="s">
        <v>298</v>
      </c>
      <c r="J251" t="s">
        <v>28</v>
      </c>
      <c r="K251">
        <v>4</v>
      </c>
      <c r="L251" s="31">
        <f t="shared" si="20"/>
        <v>22117.16</v>
      </c>
      <c r="M251">
        <v>0</v>
      </c>
      <c r="N251" s="31">
        <f t="shared" si="23"/>
        <v>0</v>
      </c>
      <c r="O251" s="34">
        <v>4</v>
      </c>
      <c r="P251" s="35">
        <v>5529.29</v>
      </c>
      <c r="Q251" s="36">
        <v>22117.16</v>
      </c>
      <c r="R251" s="37">
        <f t="shared" si="24"/>
        <v>22117.16</v>
      </c>
      <c r="S251" s="43"/>
    </row>
    <row r="252" spans="1:19" s="1" customFormat="1" ht="15" x14ac:dyDescent="0.25">
      <c r="A252" s="27" t="s">
        <v>25</v>
      </c>
      <c r="B252" s="28" t="s">
        <v>45</v>
      </c>
      <c r="C252" s="29" t="s">
        <v>299</v>
      </c>
      <c r="D252" s="30">
        <v>0</v>
      </c>
      <c r="E252" s="38">
        <f t="shared" si="25"/>
        <v>73740.05</v>
      </c>
      <c r="F252" s="32">
        <f>+M252*P252</f>
        <v>44244.03</v>
      </c>
      <c r="G252" s="32">
        <f t="shared" si="21"/>
        <v>29496.020000000004</v>
      </c>
      <c r="H252" s="33">
        <f t="shared" si="22"/>
        <v>0</v>
      </c>
      <c r="I252" t="s">
        <v>299</v>
      </c>
      <c r="J252" t="s">
        <v>287</v>
      </c>
      <c r="K252">
        <v>10</v>
      </c>
      <c r="L252" s="31">
        <f t="shared" si="20"/>
        <v>73740.05</v>
      </c>
      <c r="M252">
        <v>6</v>
      </c>
      <c r="N252" s="31">
        <f t="shared" si="23"/>
        <v>44244.03</v>
      </c>
      <c r="O252" s="34">
        <v>4</v>
      </c>
      <c r="P252" s="35">
        <v>7374.0050000000001</v>
      </c>
      <c r="Q252" s="36">
        <v>29496.02</v>
      </c>
      <c r="R252" s="37">
        <f t="shared" si="24"/>
        <v>29496.020000000004</v>
      </c>
      <c r="S252" s="3"/>
    </row>
    <row r="253" spans="1:19" s="1" customFormat="1" ht="15" x14ac:dyDescent="0.25">
      <c r="A253" s="27" t="s">
        <v>25</v>
      </c>
      <c r="B253" s="28" t="s">
        <v>45</v>
      </c>
      <c r="C253" s="29" t="s">
        <v>300</v>
      </c>
      <c r="D253" s="30">
        <v>89559.171699999948</v>
      </c>
      <c r="E253" s="38">
        <f t="shared" si="25"/>
        <v>143064.9198</v>
      </c>
      <c r="F253" s="32">
        <f>19.268067*P253</f>
        <v>153143.58111422369</v>
      </c>
      <c r="G253" s="32">
        <f t="shared" si="21"/>
        <v>79480.510385776259</v>
      </c>
      <c r="H253" s="33">
        <f t="shared" si="22"/>
        <v>-6.1422373983077705E-4</v>
      </c>
      <c r="I253" t="s">
        <v>300</v>
      </c>
      <c r="J253" t="s">
        <v>287</v>
      </c>
      <c r="K253">
        <v>18</v>
      </c>
      <c r="L253" s="31">
        <f t="shared" si="20"/>
        <v>143064.9198</v>
      </c>
      <c r="M253">
        <v>8</v>
      </c>
      <c r="N253" s="31">
        <f t="shared" si="23"/>
        <v>63584.408799999997</v>
      </c>
      <c r="O253" s="34">
        <v>10</v>
      </c>
      <c r="P253" s="35">
        <v>7948.0510999999997</v>
      </c>
      <c r="Q253" s="36">
        <v>79480.510999999999</v>
      </c>
      <c r="R253" s="37">
        <f t="shared" si="24"/>
        <v>79480.510999999999</v>
      </c>
      <c r="S253" s="3"/>
    </row>
    <row r="254" spans="1:19" s="1" customFormat="1" ht="15" x14ac:dyDescent="0.25">
      <c r="A254" s="27" t="s">
        <v>25</v>
      </c>
      <c r="B254" s="28" t="s">
        <v>45</v>
      </c>
      <c r="C254" s="29" t="s">
        <v>301</v>
      </c>
      <c r="D254" s="30">
        <v>76788.331600000034</v>
      </c>
      <c r="E254" s="38">
        <f t="shared" si="25"/>
        <v>95836.52</v>
      </c>
      <c r="F254" s="32">
        <f>15.416158*P254</f>
        <v>113648.53342231999</v>
      </c>
      <c r="G254" s="32">
        <f t="shared" si="21"/>
        <v>58976.318177680063</v>
      </c>
      <c r="H254" s="33">
        <f t="shared" si="22"/>
        <v>-1.8223199367639609E-3</v>
      </c>
      <c r="I254" t="s">
        <v>301</v>
      </c>
      <c r="J254" t="s">
        <v>287</v>
      </c>
      <c r="K254">
        <v>13</v>
      </c>
      <c r="L254" s="31">
        <f t="shared" si="20"/>
        <v>95836.52</v>
      </c>
      <c r="M254">
        <v>5</v>
      </c>
      <c r="N254" s="31">
        <f t="shared" si="23"/>
        <v>36860.199999999997</v>
      </c>
      <c r="O254" s="34">
        <v>8</v>
      </c>
      <c r="P254" s="35">
        <v>7372.04</v>
      </c>
      <c r="Q254" s="36">
        <v>58976.32</v>
      </c>
      <c r="R254" s="37">
        <f t="shared" si="24"/>
        <v>58976.320000000007</v>
      </c>
      <c r="S254" s="3"/>
    </row>
    <row r="255" spans="1:19" s="1" customFormat="1" ht="15" x14ac:dyDescent="0.25">
      <c r="A255" s="27" t="s">
        <v>25</v>
      </c>
      <c r="B255" s="28" t="s">
        <v>45</v>
      </c>
      <c r="C255" s="29" t="s">
        <v>302</v>
      </c>
      <c r="D255" s="30">
        <v>102195.99239999999</v>
      </c>
      <c r="E255" s="38">
        <f t="shared" si="25"/>
        <v>108081.2</v>
      </c>
      <c r="F255" s="32">
        <f>21.128772*P255</f>
        <v>142726.4395179</v>
      </c>
      <c r="G255" s="32">
        <f t="shared" si="21"/>
        <v>67550.752882100001</v>
      </c>
      <c r="H255" s="33">
        <f t="shared" si="22"/>
        <v>2.8821000014431775E-3</v>
      </c>
      <c r="I255" t="s">
        <v>302</v>
      </c>
      <c r="J255" t="s">
        <v>287</v>
      </c>
      <c r="K255">
        <v>16</v>
      </c>
      <c r="L255" s="31">
        <f t="shared" si="20"/>
        <v>108081.2</v>
      </c>
      <c r="M255">
        <v>6</v>
      </c>
      <c r="N255" s="31">
        <f t="shared" si="23"/>
        <v>40530.449999999997</v>
      </c>
      <c r="O255" s="34">
        <v>10</v>
      </c>
      <c r="P255" s="35">
        <v>6755.0749999999998</v>
      </c>
      <c r="Q255" s="36">
        <v>67550.75</v>
      </c>
      <c r="R255" s="37">
        <f t="shared" si="24"/>
        <v>67550.75</v>
      </c>
      <c r="S255" s="3"/>
    </row>
    <row r="256" spans="1:19" s="1" customFormat="1" ht="15" x14ac:dyDescent="0.25">
      <c r="A256" s="27" t="s">
        <v>25</v>
      </c>
      <c r="B256" s="28" t="s">
        <v>45</v>
      </c>
      <c r="C256" s="29" t="s">
        <v>303</v>
      </c>
      <c r="D256" s="30">
        <v>37806.992399999988</v>
      </c>
      <c r="E256" s="38">
        <f t="shared" si="25"/>
        <v>37806.985800000002</v>
      </c>
      <c r="F256" s="32">
        <f>9.000001*P256</f>
        <v>37806.990000776197</v>
      </c>
      <c r="G256" s="32">
        <f t="shared" si="21"/>
        <v>37806.988199223786</v>
      </c>
      <c r="H256" s="33">
        <f t="shared" si="22"/>
        <v>2.399223783868365E-3</v>
      </c>
      <c r="I256" t="s">
        <v>303</v>
      </c>
      <c r="J256" t="s">
        <v>28</v>
      </c>
      <c r="K256">
        <v>9</v>
      </c>
      <c r="L256" s="31">
        <f t="shared" si="20"/>
        <v>37806.985800000002</v>
      </c>
      <c r="M256">
        <v>0</v>
      </c>
      <c r="N256" s="31">
        <f t="shared" si="23"/>
        <v>0</v>
      </c>
      <c r="O256" s="34">
        <v>9</v>
      </c>
      <c r="P256" s="35">
        <v>4200.7762000000002</v>
      </c>
      <c r="Q256" s="36">
        <v>37806.985800000002</v>
      </c>
      <c r="R256" s="37">
        <f t="shared" si="24"/>
        <v>37806.985800000002</v>
      </c>
      <c r="S256" s="3"/>
    </row>
    <row r="257" spans="1:19" s="1" customFormat="1" ht="15" x14ac:dyDescent="0.25">
      <c r="A257" s="27" t="s">
        <v>25</v>
      </c>
      <c r="B257" s="28" t="s">
        <v>45</v>
      </c>
      <c r="C257" s="29" t="s">
        <v>304</v>
      </c>
      <c r="D257" s="30">
        <v>12999.986000000001</v>
      </c>
      <c r="E257" s="38">
        <f t="shared" si="25"/>
        <v>12999.99</v>
      </c>
      <c r="F257" s="32">
        <f>5*P257</f>
        <v>12999.99</v>
      </c>
      <c r="G257" s="32">
        <f t="shared" si="21"/>
        <v>12999.986000000003</v>
      </c>
      <c r="H257" s="33">
        <f t="shared" si="22"/>
        <v>-3.9999999989959178E-3</v>
      </c>
      <c r="I257" t="s">
        <v>304</v>
      </c>
      <c r="J257" t="s">
        <v>28</v>
      </c>
      <c r="K257">
        <v>5</v>
      </c>
      <c r="L257" s="31">
        <f t="shared" si="20"/>
        <v>12999.99</v>
      </c>
      <c r="M257">
        <v>0</v>
      </c>
      <c r="N257" s="31">
        <f t="shared" si="23"/>
        <v>0</v>
      </c>
      <c r="O257" s="34">
        <v>5</v>
      </c>
      <c r="P257" s="35">
        <v>2599.998</v>
      </c>
      <c r="Q257" s="36">
        <v>12999.990000000002</v>
      </c>
      <c r="R257" s="37">
        <f t="shared" si="24"/>
        <v>12999.99</v>
      </c>
      <c r="S257" s="3"/>
    </row>
    <row r="258" spans="1:19" s="1" customFormat="1" ht="15" x14ac:dyDescent="0.25">
      <c r="A258" s="27" t="s">
        <v>25</v>
      </c>
      <c r="B258" s="28" t="s">
        <v>45</v>
      </c>
      <c r="C258" s="29" t="s">
        <v>305</v>
      </c>
      <c r="D258" s="30">
        <v>41713.489999999991</v>
      </c>
      <c r="E258" s="38">
        <f t="shared" si="25"/>
        <v>41713.48980000001</v>
      </c>
      <c r="F258" s="32">
        <f>6*P258</f>
        <v>41713.48980000001</v>
      </c>
      <c r="G258" s="32">
        <f t="shared" si="21"/>
        <v>41713.489999999991</v>
      </c>
      <c r="H258" s="33">
        <f t="shared" si="22"/>
        <v>1.9999998767161742E-4</v>
      </c>
      <c r="I258" t="s">
        <v>305</v>
      </c>
      <c r="J258" t="s">
        <v>28</v>
      </c>
      <c r="K258">
        <v>6</v>
      </c>
      <c r="L258" s="31">
        <f t="shared" si="20"/>
        <v>41713.48980000001</v>
      </c>
      <c r="M258">
        <v>0</v>
      </c>
      <c r="N258" s="31">
        <f t="shared" si="23"/>
        <v>0</v>
      </c>
      <c r="O258" s="34">
        <v>6</v>
      </c>
      <c r="P258" s="35">
        <v>6952.2483000000011</v>
      </c>
      <c r="Q258" s="36">
        <v>41713.489800000003</v>
      </c>
      <c r="R258" s="37">
        <f t="shared" si="24"/>
        <v>41713.48980000001</v>
      </c>
      <c r="S258" s="3"/>
    </row>
    <row r="259" spans="1:19" s="1" customFormat="1" ht="15" x14ac:dyDescent="0.25">
      <c r="A259" s="27" t="s">
        <v>25</v>
      </c>
      <c r="B259" s="28" t="s">
        <v>45</v>
      </c>
      <c r="C259" s="29" t="s">
        <v>306</v>
      </c>
      <c r="D259" s="30">
        <v>13175.390000000001</v>
      </c>
      <c r="E259" s="38">
        <f t="shared" si="25"/>
        <v>13175.39</v>
      </c>
      <c r="F259" s="32">
        <f>2*P259</f>
        <v>13175.39</v>
      </c>
      <c r="G259" s="32">
        <f t="shared" si="21"/>
        <v>13175.39</v>
      </c>
      <c r="H259" s="33">
        <f t="shared" si="22"/>
        <v>0</v>
      </c>
      <c r="I259" t="s">
        <v>306</v>
      </c>
      <c r="J259" t="s">
        <v>28</v>
      </c>
      <c r="K259">
        <v>2</v>
      </c>
      <c r="L259" s="31">
        <f t="shared" si="20"/>
        <v>13175.39</v>
      </c>
      <c r="M259">
        <v>0</v>
      </c>
      <c r="N259" s="31">
        <f t="shared" si="23"/>
        <v>0</v>
      </c>
      <c r="O259" s="34">
        <v>2</v>
      </c>
      <c r="P259" s="35">
        <v>6587.6949999999997</v>
      </c>
      <c r="Q259" s="36">
        <v>13175.39</v>
      </c>
      <c r="R259" s="37">
        <f t="shared" si="24"/>
        <v>13175.39</v>
      </c>
      <c r="S259" s="3"/>
    </row>
    <row r="260" spans="1:19" s="1" customFormat="1" ht="15" x14ac:dyDescent="0.25">
      <c r="A260" s="27" t="s">
        <v>25</v>
      </c>
      <c r="B260" s="28" t="s">
        <v>45</v>
      </c>
      <c r="C260" s="29" t="s">
        <v>307</v>
      </c>
      <c r="D260" s="30">
        <v>24075.33</v>
      </c>
      <c r="E260" s="38">
        <f t="shared" si="25"/>
        <v>24075.329999999998</v>
      </c>
      <c r="F260" s="32">
        <f>3*P260</f>
        <v>24075.329999999998</v>
      </c>
      <c r="G260" s="32">
        <f t="shared" si="21"/>
        <v>24075.330000000005</v>
      </c>
      <c r="H260" s="33">
        <f t="shared" si="22"/>
        <v>0</v>
      </c>
      <c r="I260" t="s">
        <v>307</v>
      </c>
      <c r="J260" t="s">
        <v>28</v>
      </c>
      <c r="K260">
        <v>3</v>
      </c>
      <c r="L260" s="31">
        <f t="shared" si="20"/>
        <v>24075.329999999998</v>
      </c>
      <c r="M260">
        <v>0</v>
      </c>
      <c r="N260" s="31">
        <f t="shared" si="23"/>
        <v>0</v>
      </c>
      <c r="O260" s="34">
        <v>3</v>
      </c>
      <c r="P260" s="35">
        <v>8025.11</v>
      </c>
      <c r="Q260" s="36">
        <v>24075.33</v>
      </c>
      <c r="R260" s="37">
        <f t="shared" si="24"/>
        <v>24075.329999999998</v>
      </c>
      <c r="S260" s="3"/>
    </row>
    <row r="261" spans="1:19" s="1" customFormat="1" ht="15" x14ac:dyDescent="0.25">
      <c r="A261" s="27" t="s">
        <v>25</v>
      </c>
      <c r="B261" s="28" t="s">
        <v>45</v>
      </c>
      <c r="C261" s="29" t="s">
        <v>308</v>
      </c>
      <c r="D261" s="30">
        <v>24894.39</v>
      </c>
      <c r="E261" s="38">
        <f t="shared" si="25"/>
        <v>24894.39</v>
      </c>
      <c r="F261" s="32">
        <f>3*P261</f>
        <v>24894.39</v>
      </c>
      <c r="G261" s="32">
        <f t="shared" si="21"/>
        <v>24894.39</v>
      </c>
      <c r="H261" s="33">
        <f t="shared" si="22"/>
        <v>0</v>
      </c>
      <c r="I261" t="s">
        <v>308</v>
      </c>
      <c r="J261" t="s">
        <v>28</v>
      </c>
      <c r="K261">
        <v>3</v>
      </c>
      <c r="L261" s="31">
        <f t="shared" si="20"/>
        <v>24894.39</v>
      </c>
      <c r="M261">
        <v>0</v>
      </c>
      <c r="N261" s="31">
        <f t="shared" si="23"/>
        <v>0</v>
      </c>
      <c r="O261" s="34">
        <v>3</v>
      </c>
      <c r="P261" s="35">
        <v>8298.1299999999992</v>
      </c>
      <c r="Q261" s="36">
        <v>24894.389999999996</v>
      </c>
      <c r="R261" s="37">
        <f t="shared" si="24"/>
        <v>24894.39</v>
      </c>
      <c r="S261" s="3"/>
    </row>
    <row r="262" spans="1:19" s="1" customFormat="1" ht="15" x14ac:dyDescent="0.25">
      <c r="A262" s="27" t="s">
        <v>25</v>
      </c>
      <c r="B262" s="28" t="s">
        <v>45</v>
      </c>
      <c r="C262" s="29" t="s">
        <v>309</v>
      </c>
      <c r="D262" s="30">
        <v>7814.63</v>
      </c>
      <c r="E262" s="38">
        <f t="shared" si="25"/>
        <v>7814.6333000000004</v>
      </c>
      <c r="F262" s="32">
        <f>1*P262</f>
        <v>7814.6333000000004</v>
      </c>
      <c r="G262" s="32">
        <f t="shared" si="21"/>
        <v>7814.63</v>
      </c>
      <c r="H262" s="33">
        <f t="shared" si="22"/>
        <v>-3.2999999993990059E-3</v>
      </c>
      <c r="I262" t="s">
        <v>309</v>
      </c>
      <c r="J262" t="s">
        <v>28</v>
      </c>
      <c r="K262">
        <v>1</v>
      </c>
      <c r="L262" s="31">
        <f t="shared" si="20"/>
        <v>7814.6333000000004</v>
      </c>
      <c r="M262">
        <v>0</v>
      </c>
      <c r="N262" s="31">
        <f t="shared" si="23"/>
        <v>0</v>
      </c>
      <c r="O262" s="34">
        <v>1</v>
      </c>
      <c r="P262" s="35">
        <v>7814.6333000000004</v>
      </c>
      <c r="Q262" s="36">
        <v>7814.6332999999995</v>
      </c>
      <c r="R262" s="37">
        <f t="shared" si="24"/>
        <v>7814.6333000000004</v>
      </c>
      <c r="S262" s="3"/>
    </row>
    <row r="263" spans="1:19" s="1" customFormat="1" ht="15" x14ac:dyDescent="0.25">
      <c r="A263" s="27" t="s">
        <v>25</v>
      </c>
      <c r="B263" s="28" t="s">
        <v>45</v>
      </c>
      <c r="C263" s="29" t="s">
        <v>310</v>
      </c>
      <c r="D263" s="30">
        <v>14247.31</v>
      </c>
      <c r="E263" s="38">
        <f t="shared" si="25"/>
        <v>28215.31</v>
      </c>
      <c r="F263" s="32">
        <f>3.019798*P263</f>
        <v>21301.134176845004</v>
      </c>
      <c r="G263" s="32">
        <f t="shared" si="21"/>
        <v>21161.485823154999</v>
      </c>
      <c r="H263" s="33">
        <f t="shared" si="22"/>
        <v>3.3231550005439203E-3</v>
      </c>
      <c r="I263" t="s">
        <v>310</v>
      </c>
      <c r="J263" t="s">
        <v>59</v>
      </c>
      <c r="K263">
        <v>4</v>
      </c>
      <c r="L263" s="31">
        <f t="shared" si="20"/>
        <v>28215.31</v>
      </c>
      <c r="M263">
        <v>1</v>
      </c>
      <c r="N263" s="31">
        <f t="shared" si="23"/>
        <v>7053.8275000000003</v>
      </c>
      <c r="O263" s="34">
        <v>3</v>
      </c>
      <c r="P263" s="35">
        <v>7053.8275000000003</v>
      </c>
      <c r="Q263" s="36">
        <v>21161.482499999998</v>
      </c>
      <c r="R263" s="37">
        <f t="shared" si="24"/>
        <v>21161.482500000002</v>
      </c>
      <c r="S263" s="3"/>
    </row>
    <row r="264" spans="1:19" s="1" customFormat="1" ht="15" x14ac:dyDescent="0.25">
      <c r="A264" s="27" t="s">
        <v>25</v>
      </c>
      <c r="B264" s="28" t="s">
        <v>45</v>
      </c>
      <c r="C264" s="29" t="s">
        <v>311</v>
      </c>
      <c r="D264" s="30">
        <v>6204.26</v>
      </c>
      <c r="E264" s="38">
        <f t="shared" si="25"/>
        <v>6204.26</v>
      </c>
      <c r="F264" s="32">
        <f>1*P264</f>
        <v>6204.26</v>
      </c>
      <c r="G264" s="32">
        <f t="shared" si="21"/>
        <v>6204.26</v>
      </c>
      <c r="H264" s="33">
        <f t="shared" si="22"/>
        <v>0</v>
      </c>
      <c r="I264" t="s">
        <v>311</v>
      </c>
      <c r="J264" t="s">
        <v>28</v>
      </c>
      <c r="K264">
        <v>1</v>
      </c>
      <c r="L264" s="31">
        <f t="shared" si="20"/>
        <v>6204.26</v>
      </c>
      <c r="M264">
        <v>0</v>
      </c>
      <c r="N264" s="31">
        <f t="shared" si="23"/>
        <v>0</v>
      </c>
      <c r="O264" s="34">
        <v>1</v>
      </c>
      <c r="P264" s="35">
        <v>6204.26</v>
      </c>
      <c r="Q264" s="36">
        <v>6204.26</v>
      </c>
      <c r="R264" s="37">
        <f t="shared" si="24"/>
        <v>6204.26</v>
      </c>
      <c r="S264" s="3"/>
    </row>
    <row r="265" spans="1:19" s="1" customFormat="1" ht="15" x14ac:dyDescent="0.25">
      <c r="A265" s="27" t="s">
        <v>25</v>
      </c>
      <c r="B265" s="28" t="s">
        <v>45</v>
      </c>
      <c r="C265" s="29" t="s">
        <v>312</v>
      </c>
      <c r="D265" s="30">
        <v>1474.38</v>
      </c>
      <c r="E265" s="38">
        <f t="shared" si="25"/>
        <v>1474.38</v>
      </c>
      <c r="F265" s="32">
        <f>2*P265</f>
        <v>1474.38</v>
      </c>
      <c r="G265" s="32">
        <f t="shared" si="21"/>
        <v>1474.38</v>
      </c>
      <c r="H265" s="33">
        <f t="shared" si="22"/>
        <v>0</v>
      </c>
      <c r="I265" t="s">
        <v>312</v>
      </c>
      <c r="J265" t="s">
        <v>28</v>
      </c>
      <c r="K265">
        <v>2</v>
      </c>
      <c r="L265" s="31">
        <f t="shared" si="20"/>
        <v>1474.38</v>
      </c>
      <c r="M265">
        <v>0</v>
      </c>
      <c r="N265" s="31">
        <f t="shared" si="23"/>
        <v>0</v>
      </c>
      <c r="O265" s="34">
        <v>2</v>
      </c>
      <c r="P265" s="35">
        <v>737.19</v>
      </c>
      <c r="Q265" s="36">
        <v>1474.38</v>
      </c>
      <c r="R265" s="37">
        <f t="shared" si="24"/>
        <v>1474.38</v>
      </c>
      <c r="S265" s="3"/>
    </row>
    <row r="266" spans="1:19" s="1" customFormat="1" ht="15" x14ac:dyDescent="0.25">
      <c r="A266" s="27" t="s">
        <v>25</v>
      </c>
      <c r="B266" s="28" t="s">
        <v>45</v>
      </c>
      <c r="C266" s="29" t="s">
        <v>313</v>
      </c>
      <c r="D266" s="30">
        <v>14028.657999999998</v>
      </c>
      <c r="E266" s="38">
        <f t="shared" si="25"/>
        <v>14028.652</v>
      </c>
      <c r="F266" s="32">
        <f>2.000001*P266</f>
        <v>14028.659014326002</v>
      </c>
      <c r="G266" s="32">
        <f t="shared" si="21"/>
        <v>14028.650985673996</v>
      </c>
      <c r="H266" s="33">
        <f t="shared" si="22"/>
        <v>-1.0143260042241309E-3</v>
      </c>
      <c r="I266" t="s">
        <v>313</v>
      </c>
      <c r="J266" t="s">
        <v>28</v>
      </c>
      <c r="K266">
        <v>2</v>
      </c>
      <c r="L266" s="31">
        <f t="shared" si="20"/>
        <v>14028.652</v>
      </c>
      <c r="M266">
        <v>0</v>
      </c>
      <c r="N266" s="31">
        <f t="shared" si="23"/>
        <v>0</v>
      </c>
      <c r="O266" s="34">
        <v>2</v>
      </c>
      <c r="P266" s="35">
        <v>7014.326</v>
      </c>
      <c r="Q266" s="36">
        <v>14028.652</v>
      </c>
      <c r="R266" s="37">
        <f t="shared" si="24"/>
        <v>14028.652</v>
      </c>
      <c r="S266" s="3"/>
    </row>
    <row r="267" spans="1:19" s="1" customFormat="1" ht="15" x14ac:dyDescent="0.25">
      <c r="A267" s="27" t="s">
        <v>25</v>
      </c>
      <c r="B267" s="28" t="s">
        <v>45</v>
      </c>
      <c r="C267" s="29" t="s">
        <v>314</v>
      </c>
      <c r="D267" s="30">
        <v>3151.77</v>
      </c>
      <c r="E267" s="38">
        <f t="shared" si="25"/>
        <v>3151.77</v>
      </c>
      <c r="F267" s="32">
        <f>1*P267</f>
        <v>3151.77</v>
      </c>
      <c r="G267" s="32">
        <f t="shared" si="21"/>
        <v>3151.77</v>
      </c>
      <c r="H267" s="33">
        <f t="shared" si="22"/>
        <v>0</v>
      </c>
      <c r="I267" t="s">
        <v>314</v>
      </c>
      <c r="J267" t="s">
        <v>28</v>
      </c>
      <c r="K267">
        <v>1</v>
      </c>
      <c r="L267" s="31">
        <f t="shared" si="20"/>
        <v>3151.77</v>
      </c>
      <c r="M267">
        <v>0</v>
      </c>
      <c r="N267" s="31">
        <f t="shared" si="23"/>
        <v>0</v>
      </c>
      <c r="O267" s="34">
        <v>1</v>
      </c>
      <c r="P267" s="35">
        <v>3151.77</v>
      </c>
      <c r="Q267" s="36">
        <v>3151.77</v>
      </c>
      <c r="R267" s="37">
        <f t="shared" si="24"/>
        <v>3151.77</v>
      </c>
      <c r="S267" s="3"/>
    </row>
    <row r="268" spans="1:19" s="1" customFormat="1" ht="15" x14ac:dyDescent="0.25">
      <c r="A268" s="27" t="s">
        <v>25</v>
      </c>
      <c r="B268" s="28" t="s">
        <v>47</v>
      </c>
      <c r="C268" s="29" t="s">
        <v>315</v>
      </c>
      <c r="D268" s="30">
        <v>3472.6608999999589</v>
      </c>
      <c r="E268" s="38">
        <f t="shared" si="25"/>
        <v>38090.829000000005</v>
      </c>
      <c r="F268" s="32">
        <f>18.73504*P268</f>
        <v>23787.773498272003</v>
      </c>
      <c r="G268" s="32">
        <f t="shared" si="21"/>
        <v>17775.716401727961</v>
      </c>
      <c r="H268" s="33">
        <f t="shared" si="22"/>
        <v>-3.7982720386935398E-3</v>
      </c>
      <c r="I268" t="s">
        <v>315</v>
      </c>
      <c r="J268" t="s">
        <v>44</v>
      </c>
      <c r="K268">
        <v>30</v>
      </c>
      <c r="L268" s="31">
        <f t="shared" si="20"/>
        <v>38090.829000000005</v>
      </c>
      <c r="M268">
        <v>16</v>
      </c>
      <c r="N268" s="31">
        <f t="shared" si="23"/>
        <v>20315.108800000002</v>
      </c>
      <c r="O268" s="34">
        <v>14</v>
      </c>
      <c r="P268" s="35">
        <v>1269.6943000000001</v>
      </c>
      <c r="Q268" s="36">
        <v>17775.7202</v>
      </c>
      <c r="R268" s="37">
        <f t="shared" si="24"/>
        <v>17775.720200000003</v>
      </c>
      <c r="S268" s="3"/>
    </row>
    <row r="269" spans="1:19" s="1" customFormat="1" ht="15" x14ac:dyDescent="0.25">
      <c r="A269" s="27" t="s">
        <v>25</v>
      </c>
      <c r="B269" s="28" t="s">
        <v>47</v>
      </c>
      <c r="C269" s="29" t="s">
        <v>316</v>
      </c>
      <c r="D269" s="30">
        <v>3558.6399999999994</v>
      </c>
      <c r="E269" s="38">
        <f t="shared" si="25"/>
        <v>8862.73</v>
      </c>
      <c r="F269" s="32">
        <f>0.803057*P269</f>
        <v>3558.6386828049999</v>
      </c>
      <c r="G269" s="32">
        <f t="shared" si="21"/>
        <v>8862.7313171949991</v>
      </c>
      <c r="H269" s="33">
        <f t="shared" si="22"/>
        <v>1.3171949995012255E-3</v>
      </c>
      <c r="I269" t="s">
        <v>316</v>
      </c>
      <c r="J269" t="s">
        <v>127</v>
      </c>
      <c r="K269">
        <v>2</v>
      </c>
      <c r="L269" s="31">
        <f t="shared" ref="L269:L311" si="26">+K269*P269</f>
        <v>8862.73</v>
      </c>
      <c r="M269">
        <v>0</v>
      </c>
      <c r="N269" s="31">
        <f t="shared" si="23"/>
        <v>0</v>
      </c>
      <c r="O269" s="34">
        <v>2</v>
      </c>
      <c r="P269" s="35">
        <v>4431.3649999999998</v>
      </c>
      <c r="Q269" s="36">
        <v>8862.73</v>
      </c>
      <c r="R269" s="37">
        <f t="shared" si="24"/>
        <v>8862.73</v>
      </c>
      <c r="S269" s="3"/>
    </row>
    <row r="270" spans="1:19" s="1" customFormat="1" ht="15" x14ac:dyDescent="0.25">
      <c r="A270" s="27" t="s">
        <v>25</v>
      </c>
      <c r="B270" s="28" t="s">
        <v>47</v>
      </c>
      <c r="C270" s="29" t="s">
        <v>317</v>
      </c>
      <c r="D270" s="30">
        <v>20200.74179999996</v>
      </c>
      <c r="E270" s="38">
        <f t="shared" si="25"/>
        <v>66456.72</v>
      </c>
      <c r="F270" s="32">
        <f>16.29524*P270</f>
        <v>45122.008417200006</v>
      </c>
      <c r="G270" s="32">
        <f t="shared" ref="G270:G320" si="27">+D270+E270-F270</f>
        <v>41535.453382799955</v>
      </c>
      <c r="H270" s="33">
        <f t="shared" ref="H270:H320" si="28">+G270-Q270</f>
        <v>3.3827999577624723E-3</v>
      </c>
      <c r="I270" t="s">
        <v>317</v>
      </c>
      <c r="J270" t="s">
        <v>44</v>
      </c>
      <c r="K270">
        <v>24</v>
      </c>
      <c r="L270" s="31">
        <f t="shared" si="26"/>
        <v>66456.72</v>
      </c>
      <c r="M270">
        <v>9</v>
      </c>
      <c r="N270" s="31">
        <f t="shared" si="23"/>
        <v>24921.27</v>
      </c>
      <c r="O270" s="34">
        <v>15</v>
      </c>
      <c r="P270" s="35">
        <v>2769.03</v>
      </c>
      <c r="Q270" s="36">
        <v>41535.449999999997</v>
      </c>
      <c r="R270" s="37">
        <f t="shared" si="24"/>
        <v>41535.449999999997</v>
      </c>
      <c r="S270" s="3"/>
    </row>
    <row r="271" spans="1:19" s="1" customFormat="1" ht="15" x14ac:dyDescent="0.25">
      <c r="A271" s="27" t="s">
        <v>25</v>
      </c>
      <c r="B271" s="28" t="s">
        <v>26</v>
      </c>
      <c r="C271" s="29" t="s">
        <v>318</v>
      </c>
      <c r="D271" s="30">
        <v>1613.5600000000004</v>
      </c>
      <c r="E271" s="38">
        <f t="shared" si="25"/>
        <v>3863.2901999999999</v>
      </c>
      <c r="F271" s="32">
        <f>7.5943*P271</f>
        <v>2667.1804332599995</v>
      </c>
      <c r="G271" s="32">
        <f t="shared" si="27"/>
        <v>2809.6697667400013</v>
      </c>
      <c r="H271" s="33">
        <f t="shared" si="28"/>
        <v>4.1667400014375744E-3</v>
      </c>
      <c r="I271" t="s">
        <v>318</v>
      </c>
      <c r="J271" t="s">
        <v>28</v>
      </c>
      <c r="K271">
        <v>11</v>
      </c>
      <c r="L271" s="31">
        <f t="shared" si="26"/>
        <v>3863.2901999999999</v>
      </c>
      <c r="M271">
        <v>3</v>
      </c>
      <c r="N271" s="31">
        <f t="shared" si="23"/>
        <v>1053.6245999999999</v>
      </c>
      <c r="O271" s="34">
        <v>8</v>
      </c>
      <c r="P271" s="35">
        <v>351.20819999999998</v>
      </c>
      <c r="Q271" s="36">
        <v>2809.6655999999998</v>
      </c>
      <c r="R271" s="37">
        <f t="shared" si="24"/>
        <v>2809.6656000000003</v>
      </c>
      <c r="S271" s="3"/>
    </row>
    <row r="272" spans="1:19" s="1" customFormat="1" x14ac:dyDescent="0.2">
      <c r="A272" s="44" t="s">
        <v>319</v>
      </c>
      <c r="B272" s="45"/>
      <c r="C272" s="46"/>
      <c r="D272" s="47">
        <f>SUM(D13:D271)</f>
        <v>2535354.8142999993</v>
      </c>
      <c r="E272" s="47">
        <f>SUM(E13:E271)</f>
        <v>3413689.4829000011</v>
      </c>
      <c r="F272" s="47">
        <f>SUM(F13:F271)</f>
        <v>3460781.8963041748</v>
      </c>
      <c r="G272" s="47">
        <f>SUM(G13:G271)</f>
        <v>2488262.4008958261</v>
      </c>
      <c r="H272" s="2"/>
      <c r="I272" s="23"/>
      <c r="J272" s="23"/>
      <c r="K272" s="23"/>
      <c r="L272" s="23"/>
      <c r="M272" s="23"/>
      <c r="N272" s="23"/>
      <c r="O272" s="24"/>
      <c r="P272" s="25"/>
      <c r="Q272" s="48">
        <v>2488262.3966000001</v>
      </c>
      <c r="R272" s="3"/>
      <c r="S272" s="3"/>
    </row>
    <row r="273" spans="1:19" s="1" customFormat="1" x14ac:dyDescent="0.2">
      <c r="D273" s="2"/>
      <c r="E273" s="2"/>
      <c r="F273" s="2"/>
      <c r="G273" s="49" t="s">
        <v>320</v>
      </c>
      <c r="H273" s="2"/>
      <c r="I273" s="4"/>
      <c r="J273" s="3"/>
      <c r="Q273" s="50">
        <f>SUM(Q13:Q271)</f>
        <v>2477052.3966000001</v>
      </c>
      <c r="R273" s="3"/>
      <c r="S273" s="3"/>
    </row>
    <row r="274" spans="1:19" s="1" customFormat="1" x14ac:dyDescent="0.2">
      <c r="D274" s="2"/>
      <c r="E274" s="2"/>
      <c r="F274" s="2"/>
      <c r="G274" s="49"/>
      <c r="H274" s="2"/>
      <c r="I274" s="4"/>
      <c r="J274" s="3"/>
      <c r="Q274" s="50"/>
      <c r="R274" s="3"/>
      <c r="S274" s="3"/>
    </row>
    <row r="275" spans="1:19" s="1" customFormat="1" ht="13.5" x14ac:dyDescent="0.25">
      <c r="A275" s="51" t="s">
        <v>321</v>
      </c>
      <c r="B275" s="51"/>
      <c r="C275" s="52"/>
      <c r="D275" s="53"/>
      <c r="E275" s="54" t="s">
        <v>322</v>
      </c>
      <c r="F275" s="54"/>
      <c r="G275" s="54"/>
      <c r="H275" s="2"/>
      <c r="I275" s="4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s="1" customFormat="1" ht="13.5" x14ac:dyDescent="0.25">
      <c r="A276" s="52" t="s">
        <v>323</v>
      </c>
      <c r="B276" s="52"/>
      <c r="C276" s="52"/>
      <c r="D276" s="55"/>
      <c r="E276" s="55" t="s">
        <v>324</v>
      </c>
      <c r="F276" s="55"/>
      <c r="G276" s="56"/>
      <c r="H276" s="2"/>
      <c r="I276" s="4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s="1" customFormat="1" ht="13.5" x14ac:dyDescent="0.25">
      <c r="A277" s="52"/>
      <c r="B277" s="52"/>
      <c r="C277" s="56"/>
      <c r="D277" s="56"/>
      <c r="E277" s="53"/>
      <c r="F277" s="53"/>
      <c r="G277" s="53"/>
      <c r="H277" s="2"/>
      <c r="I277" s="4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s="1" customFormat="1" ht="13.5" x14ac:dyDescent="0.25">
      <c r="A278" s="51" t="s">
        <v>325</v>
      </c>
      <c r="B278" s="51"/>
      <c r="C278" s="56"/>
      <c r="D278" s="56"/>
      <c r="E278" s="57"/>
      <c r="F278" s="57" t="s">
        <v>326</v>
      </c>
      <c r="G278" s="58"/>
      <c r="H278" s="2"/>
      <c r="I278" s="4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s="1" customFormat="1" ht="13.5" x14ac:dyDescent="0.25">
      <c r="A279" s="56" t="s">
        <v>327</v>
      </c>
      <c r="B279" s="56"/>
      <c r="C279" s="56"/>
      <c r="D279" s="56"/>
      <c r="E279" s="59" t="s">
        <v>327</v>
      </c>
      <c r="F279" s="59"/>
      <c r="G279" s="59"/>
      <c r="H279" s="50"/>
      <c r="I279" s="4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s="1" customFormat="1" ht="13.5" x14ac:dyDescent="0.25">
      <c r="A280" s="60"/>
      <c r="B280" s="60"/>
      <c r="C280" s="61" t="s">
        <v>328</v>
      </c>
      <c r="D280" s="61"/>
      <c r="E280" s="61"/>
      <c r="F280" s="62"/>
      <c r="G280" s="62"/>
      <c r="H280" s="2"/>
      <c r="I280" s="4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s="1" customFormat="1" ht="13.5" x14ac:dyDescent="0.25">
      <c r="A281" s="63"/>
      <c r="B281" s="63"/>
      <c r="C281" s="62" t="s">
        <v>329</v>
      </c>
      <c r="D281" s="62"/>
      <c r="E281" s="62"/>
      <c r="F281" s="62"/>
      <c r="G281" s="62"/>
      <c r="H281" s="2"/>
      <c r="I281" s="4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s="1" customFormat="1" ht="13.5" x14ac:dyDescent="0.25">
      <c r="A282" s="64"/>
      <c r="B282" s="64"/>
      <c r="C282" s="53"/>
      <c r="D282" s="56"/>
      <c r="E282" s="64"/>
      <c r="F282" s="64"/>
      <c r="G282" s="64"/>
      <c r="H282" s="2"/>
      <c r="I282" s="4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s="1" customFormat="1" ht="13.5" x14ac:dyDescent="0.25">
      <c r="A283" s="64"/>
      <c r="B283" s="64"/>
      <c r="C283" s="54" t="s">
        <v>330</v>
      </c>
      <c r="D283" s="54"/>
      <c r="E283" s="54"/>
      <c r="F283" s="64"/>
      <c r="G283" s="64"/>
      <c r="H283" s="2"/>
      <c r="I283" s="4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s="1" customFormat="1" ht="13.5" x14ac:dyDescent="0.25">
      <c r="C284" s="62" t="s">
        <v>327</v>
      </c>
      <c r="D284" s="62"/>
      <c r="E284" s="62"/>
      <c r="F284" s="2"/>
      <c r="G284" s="2"/>
      <c r="H284" s="2"/>
      <c r="I284" s="4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s="1" customFormat="1" x14ac:dyDescent="0.2">
      <c r="A285" s="60"/>
      <c r="B285" s="60"/>
      <c r="D285" s="2"/>
      <c r="E285" s="65"/>
      <c r="F285" s="65"/>
      <c r="G285" s="65"/>
      <c r="H285" s="2"/>
      <c r="I285" s="4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s="1" customFormat="1" x14ac:dyDescent="0.2">
      <c r="A286" s="63"/>
      <c r="B286" s="63"/>
      <c r="C286" s="64"/>
      <c r="D286" s="2"/>
      <c r="E286" s="63"/>
      <c r="F286" s="63"/>
      <c r="G286" s="63"/>
      <c r="H286" s="2"/>
      <c r="I286" s="4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s="1" customFormat="1" x14ac:dyDescent="0.2">
      <c r="D287" s="2"/>
      <c r="E287" s="2"/>
      <c r="F287" s="2"/>
      <c r="G287" s="2"/>
      <c r="H287" s="2"/>
      <c r="I287" s="4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s="1" customFormat="1" x14ac:dyDescent="0.2">
      <c r="D288" s="2"/>
      <c r="E288" s="2"/>
      <c r="F288" s="2"/>
      <c r="G288" s="2"/>
      <c r="H288" s="2"/>
      <c r="I288" s="4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4:19" s="1" customFormat="1" x14ac:dyDescent="0.2">
      <c r="D289" s="2"/>
      <c r="E289" s="2"/>
      <c r="F289" s="2"/>
      <c r="G289" s="2"/>
      <c r="H289" s="2"/>
      <c r="I289" s="4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4:19" s="1" customFormat="1" x14ac:dyDescent="0.2">
      <c r="D290" s="2"/>
      <c r="E290" s="2"/>
      <c r="F290" s="2"/>
      <c r="G290" s="2"/>
      <c r="H290" s="2"/>
      <c r="I290" s="4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4:19" s="1" customFormat="1" x14ac:dyDescent="0.2">
      <c r="D291" s="2"/>
      <c r="E291" s="2"/>
      <c r="F291" s="2"/>
      <c r="G291" s="2"/>
      <c r="H291" s="2"/>
      <c r="I291" s="4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4:19" s="1" customFormat="1" x14ac:dyDescent="0.2">
      <c r="D292" s="2"/>
      <c r="E292" s="2"/>
      <c r="F292" s="2"/>
      <c r="G292" s="2"/>
      <c r="H292" s="2"/>
      <c r="I292" s="4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4:19" s="1" customFormat="1" x14ac:dyDescent="0.2">
      <c r="D293" s="2"/>
      <c r="E293" s="2"/>
      <c r="F293" s="2"/>
      <c r="G293" s="2"/>
      <c r="H293" s="2"/>
      <c r="I293" s="4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4:19" s="1" customFormat="1" x14ac:dyDescent="0.2">
      <c r="D294" s="2"/>
      <c r="E294" s="2"/>
      <c r="F294" s="2"/>
      <c r="G294" s="2"/>
      <c r="H294" s="2"/>
      <c r="I294" s="4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4:19" s="1" customFormat="1" x14ac:dyDescent="0.2">
      <c r="D295" s="2"/>
      <c r="E295" s="2"/>
      <c r="F295" s="2"/>
      <c r="G295" s="2"/>
      <c r="H295" s="2"/>
      <c r="I295" s="4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4:19" s="1" customFormat="1" x14ac:dyDescent="0.2">
      <c r="D296" s="2"/>
      <c r="E296" s="2"/>
      <c r="F296" s="2"/>
      <c r="G296" s="2"/>
      <c r="H296" s="2"/>
      <c r="I296" s="4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4:19" s="1" customFormat="1" x14ac:dyDescent="0.2">
      <c r="D297" s="2"/>
      <c r="E297" s="2"/>
      <c r="F297" s="2"/>
      <c r="G297" s="2"/>
      <c r="H297" s="2"/>
      <c r="I297" s="4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4:19" s="1" customFormat="1" x14ac:dyDescent="0.2">
      <c r="D298" s="2"/>
      <c r="E298" s="2"/>
      <c r="F298" s="2"/>
      <c r="G298" s="2"/>
      <c r="H298" s="2"/>
      <c r="I298" s="4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4:19" s="1" customFormat="1" x14ac:dyDescent="0.2">
      <c r="D299" s="2"/>
      <c r="E299" s="2"/>
      <c r="F299" s="2"/>
      <c r="G299" s="2"/>
      <c r="H299" s="2"/>
      <c r="I299" s="4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4:19" s="1" customFormat="1" x14ac:dyDescent="0.2">
      <c r="D300" s="2"/>
      <c r="E300" s="2"/>
      <c r="F300" s="2"/>
      <c r="G300" s="2"/>
      <c r="H300" s="2"/>
      <c r="I300" s="4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4:19" s="1" customFormat="1" x14ac:dyDescent="0.2">
      <c r="D301" s="2"/>
      <c r="E301" s="2"/>
      <c r="F301" s="2"/>
      <c r="G301" s="2"/>
      <c r="H301" s="2"/>
      <c r="I301" s="4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4:19" s="1" customFormat="1" x14ac:dyDescent="0.2">
      <c r="D302" s="2"/>
      <c r="E302" s="2"/>
      <c r="F302" s="2"/>
      <c r="G302" s="2"/>
      <c r="H302" s="2"/>
      <c r="I302" s="4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4:19" s="1" customFormat="1" x14ac:dyDescent="0.2">
      <c r="D303" s="2"/>
      <c r="E303" s="2"/>
      <c r="F303" s="2"/>
      <c r="G303" s="2"/>
      <c r="H303" s="2"/>
      <c r="I303" s="4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4:19" s="1" customFormat="1" x14ac:dyDescent="0.2">
      <c r="D304" s="2"/>
      <c r="E304" s="2"/>
      <c r="F304" s="2"/>
      <c r="G304" s="2"/>
      <c r="H304" s="2"/>
      <c r="I304" s="4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4:19" s="1" customFormat="1" x14ac:dyDescent="0.2">
      <c r="D305" s="2"/>
      <c r="E305" s="2"/>
      <c r="F305" s="2"/>
      <c r="G305" s="2"/>
      <c r="H305" s="2"/>
      <c r="I305" s="4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4:19" s="1" customFormat="1" x14ac:dyDescent="0.2">
      <c r="D306" s="2"/>
      <c r="E306" s="2"/>
      <c r="F306" s="2"/>
      <c r="G306" s="2"/>
      <c r="H306" s="2"/>
      <c r="I306" s="4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4:19" s="1" customFormat="1" x14ac:dyDescent="0.2">
      <c r="D307" s="2"/>
      <c r="E307" s="2"/>
      <c r="F307" s="2"/>
      <c r="G307" s="2"/>
      <c r="H307" s="2"/>
      <c r="I307" s="4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4:19" s="1" customFormat="1" x14ac:dyDescent="0.2">
      <c r="D308" s="2"/>
      <c r="E308" s="2"/>
      <c r="F308" s="2"/>
      <c r="G308" s="2"/>
      <c r="H308" s="2"/>
      <c r="I308" s="4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4:19" s="1" customFormat="1" x14ac:dyDescent="0.2">
      <c r="D309" s="2"/>
      <c r="E309" s="2"/>
      <c r="F309" s="2"/>
      <c r="G309" s="2"/>
      <c r="H309" s="2"/>
      <c r="I309" s="4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4:19" s="1" customFormat="1" x14ac:dyDescent="0.2">
      <c r="D310" s="2"/>
      <c r="E310" s="2"/>
      <c r="F310" s="2"/>
      <c r="G310" s="2"/>
      <c r="H310" s="2"/>
      <c r="I310" s="4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4:19" s="1" customFormat="1" x14ac:dyDescent="0.2">
      <c r="D311" s="2"/>
      <c r="E311" s="2"/>
      <c r="F311" s="2"/>
      <c r="G311" s="2"/>
      <c r="H311" s="2"/>
      <c r="I311" s="4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4:19" s="1" customFormat="1" x14ac:dyDescent="0.2">
      <c r="D312" s="2"/>
      <c r="E312" s="2"/>
      <c r="F312" s="2"/>
      <c r="G312" s="2"/>
      <c r="H312" s="2"/>
      <c r="I312" s="4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4:19" s="1" customFormat="1" x14ac:dyDescent="0.2">
      <c r="D313" s="2"/>
      <c r="E313" s="2"/>
      <c r="F313" s="2"/>
      <c r="G313" s="2"/>
      <c r="H313" s="2"/>
      <c r="I313" s="4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4:19" s="1" customFormat="1" x14ac:dyDescent="0.2">
      <c r="D314" s="2"/>
      <c r="E314" s="2"/>
      <c r="F314" s="2"/>
      <c r="G314" s="2"/>
      <c r="H314" s="2"/>
      <c r="I314" s="4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4:19" s="1" customFormat="1" x14ac:dyDescent="0.2">
      <c r="D315" s="2"/>
      <c r="E315" s="2"/>
      <c r="F315" s="2"/>
      <c r="G315" s="2"/>
      <c r="H315" s="2"/>
      <c r="I315" s="4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4:19" s="1" customFormat="1" x14ac:dyDescent="0.2">
      <c r="D316" s="2"/>
      <c r="E316" s="2"/>
      <c r="F316" s="2"/>
      <c r="G316" s="2"/>
      <c r="H316" s="2"/>
      <c r="I316" s="4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4:19" s="1" customFormat="1" x14ac:dyDescent="0.2">
      <c r="D317" s="2"/>
      <c r="E317" s="2"/>
      <c r="F317" s="2"/>
      <c r="G317" s="2"/>
      <c r="H317" s="2"/>
      <c r="I317" s="4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4:19" s="1" customFormat="1" x14ac:dyDescent="0.2">
      <c r="D318" s="2"/>
      <c r="E318" s="2"/>
      <c r="F318" s="2"/>
      <c r="G318" s="2"/>
      <c r="H318" s="2"/>
      <c r="I318" s="4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4:19" s="1" customFormat="1" x14ac:dyDescent="0.2">
      <c r="D319" s="2"/>
      <c r="E319" s="2"/>
      <c r="F319" s="2"/>
      <c r="G319" s="2"/>
      <c r="H319" s="2"/>
      <c r="I319" s="4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4:19" s="1" customFormat="1" x14ac:dyDescent="0.2">
      <c r="D320" s="2"/>
      <c r="E320" s="2"/>
      <c r="F320" s="2"/>
      <c r="G320" s="2"/>
      <c r="H320" s="2"/>
      <c r="I320" s="4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4:19" s="1" customFormat="1" x14ac:dyDescent="0.2">
      <c r="D321" s="2"/>
      <c r="E321" s="2"/>
      <c r="F321" s="2"/>
      <c r="G321" s="2"/>
      <c r="H321" s="2"/>
      <c r="I321" s="4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4:19" s="1" customFormat="1" x14ac:dyDescent="0.2">
      <c r="D322" s="2"/>
      <c r="E322" s="2"/>
      <c r="F322" s="2"/>
      <c r="G322" s="2"/>
      <c r="H322" s="2"/>
      <c r="I322" s="4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4:19" s="1" customFormat="1" x14ac:dyDescent="0.2">
      <c r="D323" s="2"/>
      <c r="E323" s="2"/>
      <c r="F323" s="2"/>
      <c r="G323" s="2"/>
      <c r="H323" s="2"/>
      <c r="I323" s="4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4:19" s="1" customFormat="1" x14ac:dyDescent="0.2">
      <c r="D324" s="2"/>
      <c r="E324" s="2"/>
      <c r="F324" s="2"/>
      <c r="G324" s="2"/>
      <c r="H324" s="2"/>
      <c r="I324" s="4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4:19" s="1" customFormat="1" x14ac:dyDescent="0.2">
      <c r="D325" s="2"/>
      <c r="E325" s="2"/>
      <c r="F325" s="2"/>
      <c r="G325" s="2"/>
      <c r="H325" s="2"/>
      <c r="I325" s="4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4:19" s="1" customFormat="1" x14ac:dyDescent="0.2">
      <c r="D326" s="2"/>
      <c r="E326" s="2"/>
      <c r="F326" s="2"/>
      <c r="G326" s="2"/>
      <c r="H326" s="2"/>
      <c r="I326" s="4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4:19" s="1" customFormat="1" x14ac:dyDescent="0.2">
      <c r="D327" s="2"/>
      <c r="E327" s="2"/>
      <c r="F327" s="2"/>
      <c r="G327" s="2"/>
      <c r="H327" s="2"/>
      <c r="I327" s="4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4:19" s="1" customFormat="1" x14ac:dyDescent="0.2">
      <c r="D328" s="2"/>
      <c r="E328" s="2"/>
      <c r="F328" s="2"/>
      <c r="G328" s="2"/>
      <c r="H328" s="2"/>
      <c r="I328" s="4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4:19" s="1" customFormat="1" x14ac:dyDescent="0.2">
      <c r="D329" s="2"/>
      <c r="E329" s="2"/>
      <c r="F329" s="2"/>
      <c r="G329" s="2"/>
      <c r="H329" s="2"/>
      <c r="I329" s="4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4:19" s="1" customFormat="1" x14ac:dyDescent="0.2">
      <c r="D330" s="2"/>
      <c r="E330" s="2"/>
      <c r="F330" s="2"/>
      <c r="G330" s="2"/>
      <c r="H330" s="2"/>
      <c r="I330" s="4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4:19" s="1" customFormat="1" x14ac:dyDescent="0.2">
      <c r="D331" s="2"/>
      <c r="E331" s="2"/>
      <c r="F331" s="2"/>
      <c r="G331" s="2"/>
      <c r="H331" s="2"/>
      <c r="I331" s="4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4:19" s="1" customFormat="1" x14ac:dyDescent="0.2">
      <c r="D332" s="2"/>
      <c r="E332" s="2"/>
      <c r="F332" s="2"/>
      <c r="G332" s="2"/>
      <c r="H332" s="2"/>
      <c r="I332" s="4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4:19" s="1" customFormat="1" x14ac:dyDescent="0.2">
      <c r="D333" s="2"/>
      <c r="E333" s="2"/>
      <c r="F333" s="2"/>
      <c r="G333" s="2"/>
      <c r="H333" s="2"/>
      <c r="I333" s="4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4:19" s="1" customFormat="1" x14ac:dyDescent="0.2">
      <c r="D334" s="2"/>
      <c r="E334" s="2"/>
      <c r="F334" s="2"/>
      <c r="G334" s="2"/>
      <c r="H334" s="2"/>
      <c r="I334" s="4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4:19" s="1" customFormat="1" x14ac:dyDescent="0.2">
      <c r="D335" s="2"/>
      <c r="E335" s="2"/>
      <c r="F335" s="2"/>
      <c r="G335" s="2"/>
      <c r="H335" s="2"/>
      <c r="I335" s="4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4:19" s="1" customFormat="1" x14ac:dyDescent="0.2">
      <c r="D336" s="2"/>
      <c r="E336" s="2"/>
      <c r="F336" s="2"/>
      <c r="G336" s="2"/>
      <c r="H336" s="2"/>
      <c r="I336" s="4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4:19" s="1" customFormat="1" x14ac:dyDescent="0.2">
      <c r="D337" s="2"/>
      <c r="E337" s="2"/>
      <c r="F337" s="2"/>
      <c r="G337" s="2"/>
      <c r="H337" s="2"/>
      <c r="I337" s="4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4:19" s="1" customFormat="1" x14ac:dyDescent="0.2">
      <c r="D338" s="2"/>
      <c r="E338" s="2"/>
      <c r="F338" s="2"/>
      <c r="G338" s="2"/>
      <c r="H338" s="2"/>
      <c r="I338" s="4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4:19" s="1" customFormat="1" x14ac:dyDescent="0.2">
      <c r="D339" s="2"/>
      <c r="E339" s="2"/>
      <c r="F339" s="2"/>
      <c r="G339" s="2"/>
      <c r="H339" s="2"/>
      <c r="I339" s="4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4:19" s="1" customFormat="1" x14ac:dyDescent="0.2">
      <c r="D340" s="2"/>
      <c r="E340" s="2"/>
      <c r="F340" s="2"/>
      <c r="G340" s="2"/>
      <c r="H340" s="2"/>
      <c r="I340" s="4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4:19" s="1" customFormat="1" x14ac:dyDescent="0.2">
      <c r="D341" s="2"/>
      <c r="E341" s="2"/>
      <c r="F341" s="2"/>
      <c r="G341" s="2"/>
      <c r="H341" s="2"/>
      <c r="I341" s="4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4:19" s="1" customFormat="1" x14ac:dyDescent="0.2">
      <c r="D342" s="2"/>
      <c r="E342" s="2"/>
      <c r="F342" s="2"/>
      <c r="G342" s="2"/>
      <c r="H342" s="2"/>
      <c r="I342" s="4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4:19" s="1" customFormat="1" x14ac:dyDescent="0.2">
      <c r="D343" s="2"/>
      <c r="E343" s="2"/>
      <c r="F343" s="2"/>
      <c r="G343" s="2"/>
      <c r="H343" s="2"/>
      <c r="I343" s="4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4:19" s="1" customFormat="1" x14ac:dyDescent="0.2">
      <c r="D344" s="2"/>
      <c r="E344" s="2"/>
      <c r="F344" s="2"/>
      <c r="G344" s="2"/>
      <c r="H344" s="2"/>
      <c r="I344" s="4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4:19" s="1" customFormat="1" x14ac:dyDescent="0.2">
      <c r="D345" s="2"/>
      <c r="E345" s="2"/>
      <c r="F345" s="2"/>
      <c r="G345" s="2"/>
      <c r="H345" s="2"/>
      <c r="I345" s="4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4:19" s="1" customFormat="1" x14ac:dyDescent="0.2">
      <c r="D346" s="2"/>
      <c r="E346" s="2"/>
      <c r="F346" s="2"/>
      <c r="G346" s="2"/>
      <c r="H346" s="2"/>
      <c r="I346" s="4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4:19" s="1" customFormat="1" x14ac:dyDescent="0.2">
      <c r="D347" s="2"/>
      <c r="E347" s="2"/>
      <c r="F347" s="2"/>
      <c r="G347" s="2"/>
      <c r="H347" s="2"/>
      <c r="I347" s="4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4:19" s="1" customFormat="1" x14ac:dyDescent="0.2">
      <c r="D348" s="2"/>
      <c r="E348" s="2"/>
      <c r="F348" s="2"/>
      <c r="G348" s="2"/>
      <c r="H348" s="2"/>
      <c r="I348" s="4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4:19" s="1" customFormat="1" x14ac:dyDescent="0.2">
      <c r="D349" s="2"/>
      <c r="E349" s="2"/>
      <c r="F349" s="2"/>
      <c r="G349" s="2"/>
      <c r="H349" s="2"/>
      <c r="I349" s="4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4:19" s="1" customFormat="1" x14ac:dyDescent="0.2">
      <c r="D350" s="2"/>
      <c r="E350" s="2"/>
      <c r="F350" s="2"/>
      <c r="G350" s="2"/>
      <c r="H350" s="2"/>
      <c r="I350" s="4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4:19" s="1" customFormat="1" x14ac:dyDescent="0.2">
      <c r="D351" s="2"/>
      <c r="E351" s="2"/>
      <c r="F351" s="2"/>
      <c r="G351" s="2"/>
      <c r="H351" s="2"/>
      <c r="I351" s="4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4:19" s="1" customFormat="1" x14ac:dyDescent="0.2">
      <c r="D352" s="2"/>
      <c r="E352" s="2"/>
      <c r="F352" s="2"/>
      <c r="G352" s="2"/>
      <c r="H352" s="2"/>
      <c r="I352" s="4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s="1" customFormat="1" x14ac:dyDescent="0.2">
      <c r="D353" s="2"/>
      <c r="E353" s="2"/>
      <c r="F353" s="2"/>
      <c r="G353" s="2"/>
      <c r="H353" s="2"/>
      <c r="I353" s="4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s="1" customFormat="1" x14ac:dyDescent="0.2">
      <c r="D354" s="2"/>
      <c r="E354" s="2"/>
      <c r="F354" s="2"/>
      <c r="G354" s="2"/>
      <c r="H354" s="2"/>
      <c r="I354" s="4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s="1" customFormat="1" x14ac:dyDescent="0.2">
      <c r="D355" s="2"/>
      <c r="E355" s="2"/>
      <c r="F355" s="2"/>
      <c r="G355" s="2"/>
      <c r="H355" s="2"/>
      <c r="I355" s="4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s="1" customFormat="1" x14ac:dyDescent="0.2">
      <c r="D356" s="2"/>
      <c r="E356" s="2"/>
      <c r="F356" s="2"/>
      <c r="G356" s="2"/>
      <c r="H356" s="2"/>
      <c r="I356" s="4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s="1" customFormat="1" x14ac:dyDescent="0.2">
      <c r="A357" s="66"/>
      <c r="B357" s="67"/>
      <c r="C357" s="67"/>
      <c r="D357" s="68"/>
      <c r="E357" s="69"/>
      <c r="F357" s="2"/>
      <c r="G357" s="2"/>
      <c r="H357" s="2"/>
      <c r="I357" s="4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s="1" customFormat="1" x14ac:dyDescent="0.2">
      <c r="A358" s="66"/>
      <c r="B358" s="67"/>
      <c r="C358" s="67"/>
      <c r="D358" s="68"/>
      <c r="E358" s="69"/>
      <c r="F358" s="2"/>
      <c r="G358" s="2"/>
      <c r="H358" s="2"/>
      <c r="I358" s="4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s="1" customFormat="1" x14ac:dyDescent="0.2">
      <c r="A359" s="66"/>
      <c r="B359" s="67"/>
      <c r="C359" s="67"/>
      <c r="D359" s="68"/>
      <c r="E359" s="69"/>
      <c r="F359" s="2"/>
      <c r="G359" s="2"/>
      <c r="H359" s="2"/>
      <c r="I359" s="4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s="1" customFormat="1" x14ac:dyDescent="0.2">
      <c r="A360" s="66"/>
      <c r="B360" s="67"/>
      <c r="C360" s="67"/>
      <c r="D360" s="68"/>
      <c r="E360" s="69"/>
      <c r="F360" s="2"/>
      <c r="G360" s="2"/>
      <c r="H360" s="2"/>
      <c r="I360" s="4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s="1" customFormat="1" x14ac:dyDescent="0.2">
      <c r="A361" s="66"/>
      <c r="B361" s="67"/>
      <c r="C361" s="67"/>
      <c r="D361" s="68"/>
      <c r="E361" s="69"/>
      <c r="F361" s="2"/>
      <c r="G361" s="2"/>
      <c r="H361" s="2"/>
      <c r="I361" s="4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s="1" customFormat="1" x14ac:dyDescent="0.2">
      <c r="A362" s="66"/>
      <c r="B362" s="67"/>
      <c r="C362" s="67"/>
      <c r="D362" s="68"/>
      <c r="E362" s="69"/>
      <c r="F362" s="2"/>
      <c r="G362" s="2"/>
      <c r="H362" s="2"/>
      <c r="I362" s="4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s="1" customFormat="1" x14ac:dyDescent="0.2">
      <c r="A363" s="66"/>
      <c r="B363" s="67"/>
      <c r="C363" s="67"/>
      <c r="D363" s="68"/>
      <c r="E363" s="69"/>
      <c r="F363" s="2"/>
      <c r="G363" s="2"/>
      <c r="H363" s="2"/>
      <c r="I363" s="4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s="1" customFormat="1" x14ac:dyDescent="0.2">
      <c r="A364" s="66"/>
      <c r="B364" s="67"/>
      <c r="C364" s="67"/>
      <c r="D364" s="68"/>
      <c r="E364" s="69"/>
      <c r="F364" s="2"/>
      <c r="G364" s="2"/>
      <c r="H364" s="2"/>
      <c r="I364" s="4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s="1" customFormat="1" x14ac:dyDescent="0.2">
      <c r="A365" s="66"/>
      <c r="B365" s="67"/>
      <c r="C365" s="67"/>
      <c r="D365" s="68"/>
      <c r="E365" s="69"/>
      <c r="F365" s="2"/>
      <c r="G365" s="2"/>
      <c r="H365" s="2"/>
      <c r="I365" s="4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s="1" customFormat="1" x14ac:dyDescent="0.2">
      <c r="A366" s="66"/>
      <c r="B366" s="67"/>
      <c r="C366" s="67"/>
      <c r="D366" s="68"/>
      <c r="E366" s="69"/>
      <c r="F366" s="2"/>
      <c r="G366" s="2"/>
      <c r="H366" s="2"/>
      <c r="I366" s="4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s="1" customFormat="1" x14ac:dyDescent="0.2">
      <c r="A367" s="66"/>
      <c r="B367" s="67"/>
      <c r="C367" s="67"/>
      <c r="D367" s="68"/>
      <c r="E367" s="69"/>
      <c r="F367" s="2"/>
      <c r="G367" s="2"/>
      <c r="H367" s="2"/>
      <c r="I367" s="4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s="1" customFormat="1" x14ac:dyDescent="0.2">
      <c r="A368" s="66"/>
      <c r="B368" s="67"/>
      <c r="C368" s="67"/>
      <c r="D368" s="68"/>
      <c r="E368" s="69"/>
      <c r="F368" s="2"/>
      <c r="G368" s="2"/>
      <c r="H368" s="2"/>
      <c r="I368" s="4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s="1" customFormat="1" x14ac:dyDescent="0.2">
      <c r="A369" s="66"/>
      <c r="B369" s="67"/>
      <c r="C369" s="67"/>
      <c r="D369" s="68"/>
      <c r="E369" s="69"/>
      <c r="F369" s="2"/>
      <c r="G369" s="2"/>
      <c r="H369" s="2"/>
      <c r="I369" s="4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s="1" customFormat="1" x14ac:dyDescent="0.2">
      <c r="A370" s="66"/>
      <c r="B370" s="67"/>
      <c r="C370" s="67"/>
      <c r="D370" s="68"/>
      <c r="E370" s="69"/>
      <c r="F370" s="2"/>
      <c r="G370" s="2"/>
      <c r="H370" s="2"/>
      <c r="I370" s="4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s="1" customFormat="1" x14ac:dyDescent="0.2">
      <c r="A371" s="66"/>
      <c r="B371" s="67"/>
      <c r="C371" s="67"/>
      <c r="D371" s="68"/>
      <c r="E371" s="69"/>
      <c r="F371" s="2"/>
      <c r="G371" s="2"/>
      <c r="H371" s="2"/>
      <c r="I371" s="4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s="1" customFormat="1" x14ac:dyDescent="0.2">
      <c r="A372" s="66"/>
      <c r="B372" s="67"/>
      <c r="C372" s="67"/>
      <c r="D372" s="68"/>
      <c r="E372" s="69"/>
      <c r="F372" s="2"/>
      <c r="G372" s="2"/>
      <c r="H372" s="2"/>
      <c r="I372" s="4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s="1" customFormat="1" x14ac:dyDescent="0.2">
      <c r="A373" s="66"/>
      <c r="B373" s="67"/>
      <c r="C373" s="67"/>
      <c r="D373" s="68"/>
      <c r="E373" s="69"/>
      <c r="F373" s="2"/>
      <c r="G373" s="2"/>
      <c r="H373" s="2"/>
      <c r="I373" s="4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s="1" customFormat="1" x14ac:dyDescent="0.2">
      <c r="A374" s="66"/>
      <c r="B374" s="67"/>
      <c r="C374" s="67"/>
      <c r="D374" s="68"/>
      <c r="E374" s="69"/>
      <c r="F374" s="2"/>
      <c r="G374" s="2"/>
      <c r="H374" s="2"/>
      <c r="I374" s="4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s="1" customFormat="1" x14ac:dyDescent="0.2">
      <c r="A375" s="66"/>
      <c r="B375" s="67"/>
      <c r="C375" s="67"/>
      <c r="D375" s="68"/>
      <c r="E375" s="69"/>
      <c r="F375" s="2"/>
      <c r="G375" s="2"/>
      <c r="H375" s="2"/>
      <c r="I375" s="4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s="1" customFormat="1" x14ac:dyDescent="0.2">
      <c r="A376" s="66"/>
      <c r="B376" s="67"/>
      <c r="C376" s="67"/>
      <c r="D376" s="68"/>
      <c r="E376" s="69"/>
      <c r="F376" s="2"/>
      <c r="G376" s="2"/>
      <c r="H376" s="2"/>
      <c r="I376" s="4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s="1" customFormat="1" x14ac:dyDescent="0.2">
      <c r="A377" s="66"/>
      <c r="B377" s="67"/>
      <c r="C377" s="67"/>
      <c r="D377" s="68"/>
      <c r="E377" s="69"/>
      <c r="F377" s="2"/>
      <c r="G377" s="2"/>
      <c r="H377" s="2"/>
      <c r="I377" s="4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s="1" customFormat="1" x14ac:dyDescent="0.2">
      <c r="A378" s="66"/>
      <c r="B378" s="67"/>
      <c r="C378" s="67"/>
      <c r="D378" s="68"/>
      <c r="E378" s="69"/>
      <c r="F378" s="2"/>
      <c r="G378" s="2"/>
      <c r="H378" s="2"/>
      <c r="I378" s="4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s="1" customFormat="1" x14ac:dyDescent="0.2">
      <c r="A379" s="66"/>
      <c r="B379" s="67"/>
      <c r="C379" s="67"/>
      <c r="D379" s="68"/>
      <c r="E379" s="69"/>
      <c r="F379" s="2"/>
      <c r="G379" s="2"/>
      <c r="H379" s="2"/>
      <c r="I379" s="4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s="1" customFormat="1" x14ac:dyDescent="0.2">
      <c r="A380" s="66"/>
      <c r="B380" s="67"/>
      <c r="C380" s="67"/>
      <c r="D380" s="68"/>
      <c r="E380" s="69"/>
      <c r="F380" s="2"/>
      <c r="G380" s="2"/>
      <c r="H380" s="2"/>
      <c r="I380" s="4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s="1" customFormat="1" x14ac:dyDescent="0.2">
      <c r="A381" s="66"/>
      <c r="B381" s="67"/>
      <c r="C381" s="67"/>
      <c r="D381" s="68"/>
      <c r="E381" s="69"/>
      <c r="F381" s="2"/>
      <c r="G381" s="2"/>
      <c r="H381" s="2"/>
      <c r="I381" s="4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s="1" customFormat="1" x14ac:dyDescent="0.2">
      <c r="A382" s="66"/>
      <c r="B382" s="67"/>
      <c r="C382" s="67"/>
      <c r="D382" s="68"/>
      <c r="E382" s="69"/>
      <c r="F382" s="2"/>
      <c r="G382" s="2"/>
      <c r="H382" s="2"/>
      <c r="I382" s="4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s="1" customFormat="1" x14ac:dyDescent="0.2">
      <c r="A383" s="66"/>
      <c r="B383" s="67"/>
      <c r="C383" s="67"/>
      <c r="D383" s="68"/>
      <c r="E383" s="69"/>
      <c r="F383" s="2"/>
      <c r="G383" s="2"/>
      <c r="H383" s="2"/>
      <c r="I383" s="4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s="1" customFormat="1" x14ac:dyDescent="0.2">
      <c r="A384" s="66"/>
      <c r="B384" s="67"/>
      <c r="C384" s="67"/>
      <c r="D384" s="68"/>
      <c r="E384" s="69"/>
      <c r="F384" s="2"/>
      <c r="G384" s="2"/>
      <c r="H384" s="2"/>
      <c r="I384" s="4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s="1" customFormat="1" x14ac:dyDescent="0.2">
      <c r="A385" s="66"/>
      <c r="B385" s="67"/>
      <c r="C385" s="67"/>
      <c r="D385" s="68"/>
      <c r="E385" s="69"/>
      <c r="F385" s="2"/>
      <c r="G385" s="2"/>
      <c r="H385" s="2"/>
      <c r="I385" s="4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s="1" customFormat="1" x14ac:dyDescent="0.2">
      <c r="A386" s="66"/>
      <c r="B386" s="67"/>
      <c r="C386" s="67"/>
      <c r="D386" s="68"/>
      <c r="E386" s="69"/>
      <c r="F386" s="2"/>
      <c r="G386" s="2"/>
      <c r="H386" s="2"/>
      <c r="I386" s="4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s="1" customFormat="1" x14ac:dyDescent="0.2">
      <c r="A387" s="66"/>
      <c r="B387" s="67"/>
      <c r="C387" s="67"/>
      <c r="D387" s="68"/>
      <c r="E387" s="69"/>
      <c r="F387" s="2"/>
      <c r="G387" s="2"/>
      <c r="H387" s="2"/>
      <c r="I387" s="4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s="1" customFormat="1" x14ac:dyDescent="0.2">
      <c r="A388" s="66"/>
      <c r="B388" s="67"/>
      <c r="C388" s="67"/>
      <c r="D388" s="68"/>
      <c r="E388" s="69"/>
      <c r="F388" s="2"/>
      <c r="G388" s="2"/>
      <c r="H388" s="2"/>
      <c r="I388" s="4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s="1" customFormat="1" x14ac:dyDescent="0.2">
      <c r="A389" s="66"/>
      <c r="B389" s="67"/>
      <c r="C389" s="67"/>
      <c r="D389" s="68"/>
      <c r="E389" s="69"/>
      <c r="F389" s="2"/>
      <c r="G389" s="2"/>
      <c r="H389" s="2"/>
      <c r="I389" s="4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s="1" customFormat="1" x14ac:dyDescent="0.2">
      <c r="A390" s="66"/>
      <c r="B390" s="67"/>
      <c r="C390" s="67"/>
      <c r="D390" s="68"/>
      <c r="E390" s="69"/>
      <c r="F390" s="2"/>
      <c r="G390" s="2"/>
      <c r="H390" s="2"/>
      <c r="I390" s="4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s="1" customFormat="1" x14ac:dyDescent="0.2">
      <c r="A391" s="66"/>
      <c r="B391" s="67"/>
      <c r="C391" s="67"/>
      <c r="D391" s="68"/>
      <c r="E391" s="69"/>
      <c r="F391" s="2"/>
      <c r="G391" s="2"/>
      <c r="H391" s="2"/>
      <c r="I391" s="4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s="1" customFormat="1" x14ac:dyDescent="0.2">
      <c r="A392" s="66"/>
      <c r="B392" s="67"/>
      <c r="C392" s="67"/>
      <c r="D392" s="68"/>
      <c r="E392" s="69"/>
      <c r="F392" s="2"/>
      <c r="G392" s="2"/>
      <c r="H392" s="2"/>
      <c r="I392" s="4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s="1" customFormat="1" x14ac:dyDescent="0.2">
      <c r="A393" s="66"/>
      <c r="B393" s="67"/>
      <c r="C393" s="67"/>
      <c r="D393" s="68"/>
      <c r="E393" s="69"/>
      <c r="F393" s="2"/>
      <c r="G393" s="2"/>
      <c r="H393" s="2"/>
      <c r="I393" s="4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s="1" customFormat="1" x14ac:dyDescent="0.2">
      <c r="A394" s="66"/>
      <c r="B394" s="67"/>
      <c r="C394" s="67"/>
      <c r="D394" s="68"/>
      <c r="E394" s="69"/>
      <c r="F394" s="2"/>
      <c r="G394" s="2"/>
      <c r="H394" s="2"/>
      <c r="I394" s="4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s="1" customFormat="1" x14ac:dyDescent="0.2">
      <c r="A395" s="66"/>
      <c r="B395" s="67"/>
      <c r="C395" s="67"/>
      <c r="D395" s="68"/>
      <c r="E395" s="69"/>
      <c r="F395" s="2"/>
      <c r="G395" s="2"/>
      <c r="H395" s="2"/>
      <c r="I395" s="4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s="1" customFormat="1" x14ac:dyDescent="0.2">
      <c r="A396" s="66"/>
      <c r="B396" s="67"/>
      <c r="C396" s="67"/>
      <c r="D396" s="68"/>
      <c r="E396" s="69"/>
      <c r="F396" s="2"/>
      <c r="G396" s="2"/>
      <c r="H396" s="2"/>
      <c r="I396" s="4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s="1" customFormat="1" x14ac:dyDescent="0.2">
      <c r="A397" s="66"/>
      <c r="B397" s="67"/>
      <c r="C397" s="67"/>
      <c r="D397" s="68"/>
      <c r="E397" s="69"/>
      <c r="F397" s="2"/>
      <c r="G397" s="2"/>
      <c r="H397" s="2"/>
      <c r="I397" s="4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s="1" customFormat="1" x14ac:dyDescent="0.2">
      <c r="A398" s="66"/>
      <c r="B398" s="67"/>
      <c r="C398" s="67"/>
      <c r="D398" s="68"/>
      <c r="E398" s="69"/>
      <c r="F398" s="2"/>
      <c r="G398" s="2"/>
      <c r="H398" s="2"/>
      <c r="I398" s="4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s="1" customFormat="1" x14ac:dyDescent="0.2">
      <c r="A399" s="66"/>
      <c r="B399" s="67"/>
      <c r="C399" s="67"/>
      <c r="D399" s="68"/>
      <c r="E399" s="69"/>
      <c r="F399" s="2"/>
      <c r="G399" s="2"/>
      <c r="H399" s="2"/>
      <c r="I399" s="4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s="1" customFormat="1" x14ac:dyDescent="0.2">
      <c r="A400" s="66"/>
      <c r="B400" s="67"/>
      <c r="C400" s="67"/>
      <c r="D400" s="68"/>
      <c r="E400" s="69"/>
      <c r="F400" s="2"/>
      <c r="G400" s="2"/>
      <c r="H400" s="2"/>
      <c r="I400" s="4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s="1" customFormat="1" x14ac:dyDescent="0.2">
      <c r="A401" s="66"/>
      <c r="B401" s="67"/>
      <c r="C401" s="67"/>
      <c r="D401" s="68"/>
      <c r="E401" s="69"/>
      <c r="F401" s="2"/>
      <c r="G401" s="2"/>
      <c r="H401" s="2"/>
      <c r="I401" s="4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s="1" customFormat="1" x14ac:dyDescent="0.2">
      <c r="A402" s="66"/>
      <c r="B402" s="67"/>
      <c r="C402" s="67"/>
      <c r="D402" s="68"/>
      <c r="E402" s="69"/>
      <c r="F402" s="2"/>
      <c r="G402" s="2"/>
      <c r="H402" s="2"/>
      <c r="I402" s="4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s="1" customFormat="1" x14ac:dyDescent="0.2">
      <c r="A403" s="66"/>
      <c r="B403" s="67"/>
      <c r="C403" s="67"/>
      <c r="D403" s="68"/>
      <c r="E403" s="69"/>
      <c r="F403" s="2"/>
      <c r="G403" s="2"/>
      <c r="H403" s="2"/>
      <c r="I403" s="4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s="1" customFormat="1" x14ac:dyDescent="0.2">
      <c r="A404" s="66"/>
      <c r="B404" s="67"/>
      <c r="C404" s="67"/>
      <c r="D404" s="68"/>
      <c r="E404" s="69"/>
      <c r="F404" s="2"/>
      <c r="G404" s="2"/>
      <c r="H404" s="2"/>
      <c r="I404" s="4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s="1" customFormat="1" x14ac:dyDescent="0.2">
      <c r="A405" s="66"/>
      <c r="B405" s="67"/>
      <c r="C405" s="67"/>
      <c r="D405" s="68"/>
      <c r="E405" s="69"/>
      <c r="F405" s="2"/>
      <c r="G405" s="2"/>
      <c r="H405" s="2"/>
      <c r="I405" s="4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s="1" customFormat="1" x14ac:dyDescent="0.2">
      <c r="A406" s="66"/>
      <c r="B406" s="67"/>
      <c r="C406" s="67"/>
      <c r="D406" s="68"/>
      <c r="E406" s="69"/>
      <c r="F406" s="2"/>
      <c r="G406" s="2"/>
      <c r="H406" s="2"/>
      <c r="I406" s="4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s="1" customFormat="1" x14ac:dyDescent="0.2">
      <c r="A407" s="66"/>
      <c r="B407" s="67"/>
      <c r="C407" s="67"/>
      <c r="D407" s="68"/>
      <c r="E407" s="69"/>
      <c r="F407" s="2"/>
      <c r="G407" s="2"/>
      <c r="H407" s="2"/>
      <c r="I407" s="4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s="1" customFormat="1" x14ac:dyDescent="0.2">
      <c r="A408" s="66"/>
      <c r="B408" s="67"/>
      <c r="C408" s="67"/>
      <c r="D408" s="68"/>
      <c r="E408" s="69"/>
      <c r="F408" s="2"/>
      <c r="G408" s="2"/>
      <c r="H408" s="2"/>
      <c r="I408" s="4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s="1" customFormat="1" x14ac:dyDescent="0.2">
      <c r="A409" s="66"/>
      <c r="B409" s="67"/>
      <c r="C409" s="67"/>
      <c r="D409" s="68"/>
      <c r="E409" s="69"/>
      <c r="F409" s="2"/>
      <c r="G409" s="2"/>
      <c r="H409" s="2"/>
      <c r="I409" s="4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s="1" customFormat="1" x14ac:dyDescent="0.2">
      <c r="A410" s="66"/>
      <c r="B410" s="67"/>
      <c r="C410" s="67"/>
      <c r="D410" s="68"/>
      <c r="E410" s="69"/>
      <c r="F410" s="2"/>
      <c r="G410" s="2"/>
      <c r="H410" s="2"/>
      <c r="I410" s="4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s="1" customFormat="1" x14ac:dyDescent="0.2">
      <c r="A411" s="66"/>
      <c r="B411" s="67"/>
      <c r="C411" s="67"/>
      <c r="D411" s="68"/>
      <c r="E411" s="69"/>
      <c r="F411" s="2"/>
      <c r="G411" s="2"/>
      <c r="H411" s="2"/>
      <c r="I411" s="4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s="1" customFormat="1" x14ac:dyDescent="0.2">
      <c r="A412" s="66"/>
      <c r="B412" s="67"/>
      <c r="C412" s="67"/>
      <c r="D412" s="68"/>
      <c r="E412" s="69"/>
      <c r="F412" s="2"/>
      <c r="G412" s="2"/>
      <c r="H412" s="2"/>
      <c r="I412" s="4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s="1" customFormat="1" x14ac:dyDescent="0.2">
      <c r="A413" s="66"/>
      <c r="B413" s="67"/>
      <c r="C413" s="67"/>
      <c r="D413" s="68"/>
      <c r="E413" s="69"/>
      <c r="F413" s="2"/>
      <c r="G413" s="2"/>
      <c r="H413" s="2"/>
      <c r="I413" s="4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s="1" customFormat="1" x14ac:dyDescent="0.2">
      <c r="A414" s="66"/>
      <c r="B414" s="67"/>
      <c r="C414" s="67"/>
      <c r="D414" s="68"/>
      <c r="E414" s="69"/>
      <c r="F414" s="2"/>
      <c r="G414" s="2"/>
      <c r="H414" s="2"/>
      <c r="I414" s="4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s="1" customFormat="1" x14ac:dyDescent="0.2">
      <c r="A415" s="66"/>
      <c r="B415" s="67"/>
      <c r="C415" s="67"/>
      <c r="D415" s="68"/>
      <c r="E415" s="69"/>
      <c r="F415" s="2"/>
      <c r="G415" s="2"/>
      <c r="H415" s="2"/>
      <c r="I415" s="4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s="1" customFormat="1" x14ac:dyDescent="0.2">
      <c r="A416" s="66"/>
      <c r="B416" s="67"/>
      <c r="C416" s="67"/>
      <c r="D416" s="68"/>
      <c r="E416" s="69"/>
      <c r="F416" s="2"/>
      <c r="G416" s="2"/>
      <c r="H416" s="2"/>
      <c r="I416" s="4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s="1" customFormat="1" x14ac:dyDescent="0.2">
      <c r="A417" s="66"/>
      <c r="B417" s="67"/>
      <c r="C417" s="67"/>
      <c r="D417" s="68"/>
      <c r="E417" s="69"/>
      <c r="F417" s="2"/>
      <c r="G417" s="2"/>
      <c r="H417" s="2"/>
      <c r="I417" s="4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s="1" customFormat="1" x14ac:dyDescent="0.2">
      <c r="A418" s="66"/>
      <c r="B418" s="67"/>
      <c r="C418" s="67"/>
      <c r="D418" s="68"/>
      <c r="E418" s="69"/>
      <c r="F418" s="2"/>
      <c r="G418" s="2"/>
      <c r="H418" s="2"/>
      <c r="I418" s="4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s="1" customFormat="1" x14ac:dyDescent="0.2">
      <c r="A419" s="66"/>
      <c r="B419" s="67"/>
      <c r="C419" s="67"/>
      <c r="D419" s="68"/>
      <c r="E419" s="69"/>
      <c r="F419" s="2"/>
      <c r="G419" s="2"/>
      <c r="H419" s="2"/>
      <c r="I419" s="4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s="1" customFormat="1" x14ac:dyDescent="0.2">
      <c r="A420" s="66"/>
      <c r="B420" s="67"/>
      <c r="C420" s="67"/>
      <c r="D420" s="68"/>
      <c r="E420" s="69"/>
      <c r="F420" s="2"/>
      <c r="G420" s="2"/>
      <c r="H420" s="2"/>
      <c r="I420" s="4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s="1" customFormat="1" x14ac:dyDescent="0.2">
      <c r="A421" s="66"/>
      <c r="B421" s="67"/>
      <c r="C421" s="67"/>
      <c r="D421" s="68"/>
      <c r="E421" s="69"/>
      <c r="F421" s="2"/>
      <c r="G421" s="2"/>
      <c r="H421" s="2"/>
      <c r="I421" s="4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s="1" customFormat="1" x14ac:dyDescent="0.2">
      <c r="A422" s="66"/>
      <c r="B422" s="67"/>
      <c r="C422" s="67"/>
      <c r="D422" s="68"/>
      <c r="E422" s="69"/>
      <c r="F422" s="2"/>
      <c r="G422" s="2"/>
      <c r="H422" s="2"/>
      <c r="I422" s="4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s="1" customFormat="1" x14ac:dyDescent="0.2">
      <c r="A423" s="66"/>
      <c r="B423" s="67"/>
      <c r="C423" s="67"/>
      <c r="D423" s="68"/>
      <c r="E423" s="69"/>
      <c r="F423" s="2"/>
      <c r="G423" s="2"/>
      <c r="H423" s="2"/>
      <c r="I423" s="4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s="1" customFormat="1" x14ac:dyDescent="0.2">
      <c r="A424" s="66"/>
      <c r="B424" s="67"/>
      <c r="C424" s="67"/>
      <c r="D424" s="68"/>
      <c r="E424" s="69"/>
      <c r="F424" s="2"/>
      <c r="G424" s="2"/>
      <c r="H424" s="2"/>
      <c r="I424" s="4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s="1" customFormat="1" x14ac:dyDescent="0.2">
      <c r="A425" s="66"/>
      <c r="B425" s="67"/>
      <c r="C425" s="67"/>
      <c r="D425" s="68"/>
      <c r="E425" s="69"/>
      <c r="F425" s="2"/>
      <c r="G425" s="2"/>
      <c r="H425" s="2"/>
      <c r="I425" s="4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s="1" customFormat="1" x14ac:dyDescent="0.2">
      <c r="A426" s="66"/>
      <c r="B426" s="67"/>
      <c r="C426" s="67"/>
      <c r="D426" s="68"/>
      <c r="E426" s="69"/>
      <c r="F426" s="2"/>
      <c r="G426" s="2"/>
      <c r="H426" s="2"/>
      <c r="I426" s="4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s="1" customFormat="1" x14ac:dyDescent="0.2">
      <c r="A427" s="66"/>
      <c r="B427" s="67"/>
      <c r="C427" s="67"/>
      <c r="D427" s="68"/>
      <c r="E427" s="69"/>
      <c r="F427" s="2"/>
      <c r="G427" s="2"/>
      <c r="H427" s="2"/>
      <c r="I427" s="4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s="1" customFormat="1" x14ac:dyDescent="0.2">
      <c r="A428" s="66"/>
      <c r="B428" s="67"/>
      <c r="C428" s="67"/>
      <c r="D428" s="68"/>
      <c r="E428" s="69"/>
      <c r="F428" s="2"/>
      <c r="G428" s="2"/>
      <c r="H428" s="2"/>
      <c r="I428" s="4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s="1" customFormat="1" x14ac:dyDescent="0.2">
      <c r="A429" s="66"/>
      <c r="B429" s="67"/>
      <c r="C429" s="67"/>
      <c r="D429" s="68"/>
      <c r="E429" s="69"/>
      <c r="F429" s="2"/>
      <c r="G429" s="2"/>
      <c r="H429" s="2"/>
      <c r="I429" s="4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s="1" customFormat="1" x14ac:dyDescent="0.2">
      <c r="A430" s="66"/>
      <c r="B430" s="67"/>
      <c r="C430" s="67"/>
      <c r="D430" s="68"/>
      <c r="E430" s="69"/>
      <c r="F430" s="2"/>
      <c r="G430" s="2"/>
      <c r="H430" s="2"/>
      <c r="I430" s="4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s="1" customFormat="1" x14ac:dyDescent="0.2">
      <c r="A431" s="66"/>
      <c r="B431" s="67"/>
      <c r="C431" s="67"/>
      <c r="D431" s="68"/>
      <c r="E431" s="69"/>
      <c r="F431" s="2"/>
      <c r="G431" s="2"/>
      <c r="H431" s="2"/>
      <c r="I431" s="4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s="1" customFormat="1" x14ac:dyDescent="0.2">
      <c r="A432" s="66"/>
      <c r="B432" s="67"/>
      <c r="C432" s="67"/>
      <c r="D432" s="68"/>
      <c r="E432" s="69"/>
      <c r="F432" s="2"/>
      <c r="G432" s="2"/>
      <c r="H432" s="2"/>
      <c r="I432" s="4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s="1" customFormat="1" x14ac:dyDescent="0.2">
      <c r="A433" s="66"/>
      <c r="B433" s="67"/>
      <c r="C433" s="67"/>
      <c r="D433" s="68"/>
      <c r="E433" s="69"/>
      <c r="F433" s="2"/>
      <c r="G433" s="2"/>
      <c r="H433" s="2"/>
      <c r="I433" s="4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s="1" customFormat="1" x14ac:dyDescent="0.2">
      <c r="A434" s="66"/>
      <c r="B434" s="67"/>
      <c r="C434" s="67"/>
      <c r="D434" s="68"/>
      <c r="E434" s="69"/>
      <c r="F434" s="2"/>
      <c r="G434" s="2"/>
      <c r="H434" s="2"/>
      <c r="I434" s="4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s="1" customFormat="1" x14ac:dyDescent="0.2">
      <c r="A435" s="66"/>
      <c r="B435" s="67"/>
      <c r="C435" s="67"/>
      <c r="D435" s="68"/>
      <c r="E435" s="69"/>
      <c r="F435" s="2"/>
      <c r="G435" s="2"/>
      <c r="H435" s="2"/>
      <c r="I435" s="4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s="1" customFormat="1" x14ac:dyDescent="0.2">
      <c r="A436" s="66"/>
      <c r="B436" s="67"/>
      <c r="C436" s="67"/>
      <c r="D436" s="68"/>
      <c r="E436" s="69"/>
      <c r="F436" s="2"/>
      <c r="G436" s="2"/>
      <c r="H436" s="2"/>
      <c r="I436" s="4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s="1" customFormat="1" x14ac:dyDescent="0.2">
      <c r="A437" s="66"/>
      <c r="B437" s="67"/>
      <c r="C437" s="67"/>
      <c r="D437" s="68"/>
      <c r="E437" s="69"/>
      <c r="F437" s="2"/>
      <c r="G437" s="2"/>
      <c r="H437" s="2"/>
      <c r="I437" s="4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s="1" customFormat="1" x14ac:dyDescent="0.2">
      <c r="A438" s="66"/>
      <c r="B438" s="67"/>
      <c r="C438" s="67"/>
      <c r="D438" s="68"/>
      <c r="E438" s="69"/>
      <c r="F438" s="2"/>
      <c r="G438" s="2"/>
      <c r="H438" s="2"/>
      <c r="I438" s="4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s="1" customFormat="1" x14ac:dyDescent="0.2">
      <c r="A439" s="66"/>
      <c r="B439" s="67"/>
      <c r="C439" s="67"/>
      <c r="D439" s="68"/>
      <c r="E439" s="69"/>
      <c r="F439" s="2"/>
      <c r="G439" s="2"/>
      <c r="H439" s="2"/>
      <c r="I439" s="4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s="1" customFormat="1" x14ac:dyDescent="0.2">
      <c r="A440" s="66"/>
      <c r="B440" s="67"/>
      <c r="C440" s="67"/>
      <c r="D440" s="68"/>
      <c r="E440" s="69"/>
      <c r="F440" s="2"/>
      <c r="G440" s="2"/>
      <c r="H440" s="2"/>
      <c r="I440" s="4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s="1" customFormat="1" x14ac:dyDescent="0.2">
      <c r="A441" s="66"/>
      <c r="B441" s="67"/>
      <c r="C441" s="67"/>
      <c r="D441" s="68"/>
      <c r="E441" s="69"/>
      <c r="F441" s="2"/>
      <c r="G441" s="2"/>
      <c r="H441" s="2"/>
      <c r="I441" s="4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s="1" customFormat="1" x14ac:dyDescent="0.2">
      <c r="A442" s="66"/>
      <c r="B442" s="67"/>
      <c r="C442" s="67"/>
      <c r="D442" s="68"/>
      <c r="E442" s="69"/>
      <c r="F442" s="2"/>
      <c r="G442" s="2"/>
      <c r="H442" s="2"/>
      <c r="I442" s="4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s="1" customFormat="1" x14ac:dyDescent="0.2">
      <c r="A443" s="66"/>
      <c r="B443" s="67"/>
      <c r="C443" s="67"/>
      <c r="D443" s="68"/>
      <c r="E443" s="69"/>
      <c r="F443" s="2"/>
      <c r="G443" s="2"/>
      <c r="H443" s="2"/>
      <c r="I443" s="4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s="1" customFormat="1" x14ac:dyDescent="0.2">
      <c r="A444" s="66"/>
      <c r="B444" s="67"/>
      <c r="C444" s="67"/>
      <c r="D444" s="68"/>
      <c r="E444" s="69"/>
      <c r="F444" s="2"/>
      <c r="G444" s="2"/>
      <c r="H444" s="2"/>
      <c r="I444" s="4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s="1" customFormat="1" x14ac:dyDescent="0.2">
      <c r="A445" s="66"/>
      <c r="B445" s="67"/>
      <c r="C445" s="67"/>
      <c r="D445" s="68"/>
      <c r="E445" s="69"/>
      <c r="F445" s="2"/>
      <c r="G445" s="2"/>
      <c r="H445" s="2"/>
      <c r="I445" s="4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s="1" customFormat="1" x14ac:dyDescent="0.2">
      <c r="A446" s="66"/>
      <c r="B446" s="67"/>
      <c r="C446" s="67"/>
      <c r="D446" s="68"/>
      <c r="E446" s="69"/>
      <c r="F446" s="2"/>
      <c r="G446" s="2"/>
      <c r="H446" s="2"/>
      <c r="I446" s="4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s="1" customFormat="1" x14ac:dyDescent="0.2">
      <c r="A447" s="66"/>
      <c r="B447" s="67"/>
      <c r="C447" s="67"/>
      <c r="D447" s="68"/>
      <c r="E447" s="69"/>
      <c r="F447" s="2"/>
      <c r="G447" s="2"/>
      <c r="H447" s="2"/>
      <c r="I447" s="4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s="1" customFormat="1" x14ac:dyDescent="0.2">
      <c r="A448" s="66"/>
      <c r="B448" s="67"/>
      <c r="C448" s="67"/>
      <c r="D448" s="68"/>
      <c r="E448" s="69"/>
      <c r="F448" s="2"/>
      <c r="G448" s="2"/>
      <c r="H448" s="2"/>
      <c r="I448" s="4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s="1" customFormat="1" x14ac:dyDescent="0.2">
      <c r="A449" s="66"/>
      <c r="B449" s="67"/>
      <c r="C449" s="67"/>
      <c r="D449" s="68"/>
      <c r="E449" s="69"/>
      <c r="F449" s="2"/>
      <c r="G449" s="2"/>
      <c r="H449" s="2"/>
      <c r="I449" s="4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s="1" customFormat="1" x14ac:dyDescent="0.2">
      <c r="A450" s="66"/>
      <c r="B450" s="67"/>
      <c r="C450" s="67"/>
      <c r="D450" s="68"/>
      <c r="E450" s="69"/>
      <c r="F450" s="2"/>
      <c r="G450" s="2"/>
      <c r="H450" s="2"/>
      <c r="I450" s="4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s="1" customFormat="1" x14ac:dyDescent="0.2">
      <c r="A451" s="66"/>
      <c r="B451" s="67"/>
      <c r="C451" s="67"/>
      <c r="D451" s="68"/>
      <c r="E451" s="69"/>
      <c r="F451" s="2"/>
      <c r="G451" s="2"/>
      <c r="H451" s="2"/>
      <c r="I451" s="4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s="1" customFormat="1" x14ac:dyDescent="0.2">
      <c r="A452" s="66"/>
      <c r="B452" s="67"/>
      <c r="C452" s="67"/>
      <c r="D452" s="68"/>
      <c r="E452" s="69"/>
      <c r="F452" s="2"/>
      <c r="G452" s="2"/>
      <c r="H452" s="2"/>
      <c r="I452" s="4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s="1" customFormat="1" x14ac:dyDescent="0.2">
      <c r="A453" s="66"/>
      <c r="B453" s="67"/>
      <c r="C453" s="67"/>
      <c r="D453" s="68"/>
      <c r="E453" s="69"/>
      <c r="F453" s="2"/>
      <c r="G453" s="2"/>
      <c r="H453" s="2"/>
      <c r="I453" s="4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s="1" customFormat="1" x14ac:dyDescent="0.2">
      <c r="A454" s="66"/>
      <c r="B454" s="67"/>
      <c r="C454" s="67"/>
      <c r="D454" s="68"/>
      <c r="E454" s="69"/>
      <c r="F454" s="2"/>
      <c r="G454" s="2"/>
      <c r="H454" s="2"/>
      <c r="I454" s="4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s="1" customFormat="1" x14ac:dyDescent="0.2">
      <c r="A455" s="66"/>
      <c r="B455" s="67"/>
      <c r="C455" s="67"/>
      <c r="D455" s="68"/>
      <c r="E455" s="69"/>
      <c r="F455" s="2"/>
      <c r="G455" s="2"/>
      <c r="H455" s="2"/>
      <c r="I455" s="4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s="1" customFormat="1" x14ac:dyDescent="0.2">
      <c r="A456" s="66"/>
      <c r="B456" s="67"/>
      <c r="C456" s="67"/>
      <c r="D456" s="68"/>
      <c r="E456" s="69"/>
      <c r="F456" s="2"/>
      <c r="G456" s="2"/>
      <c r="H456" s="2"/>
      <c r="I456" s="4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s="1" customFormat="1" x14ac:dyDescent="0.2">
      <c r="A457" s="66"/>
      <c r="B457" s="67"/>
      <c r="C457" s="67"/>
      <c r="D457" s="68"/>
      <c r="E457" s="69"/>
      <c r="F457" s="2"/>
      <c r="G457" s="2"/>
      <c r="H457" s="2"/>
      <c r="I457" s="4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s="1" customFormat="1" x14ac:dyDescent="0.2">
      <c r="A458" s="66"/>
      <c r="B458" s="67"/>
      <c r="C458" s="67"/>
      <c r="D458" s="68"/>
      <c r="E458" s="69"/>
      <c r="F458" s="2"/>
      <c r="G458" s="2"/>
      <c r="H458" s="2"/>
      <c r="I458" s="4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s="1" customFormat="1" x14ac:dyDescent="0.2">
      <c r="A459" s="66"/>
      <c r="B459" s="67"/>
      <c r="C459" s="67"/>
      <c r="D459" s="68"/>
      <c r="E459" s="69"/>
      <c r="F459" s="2"/>
      <c r="G459" s="2"/>
      <c r="H459" s="2"/>
      <c r="I459" s="4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s="1" customFormat="1" x14ac:dyDescent="0.2">
      <c r="A460" s="66"/>
      <c r="B460" s="67"/>
      <c r="C460" s="67"/>
      <c r="D460" s="68"/>
      <c r="E460" s="69"/>
      <c r="F460" s="2"/>
      <c r="G460" s="2"/>
      <c r="H460" s="2"/>
      <c r="I460" s="4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s="1" customFormat="1" x14ac:dyDescent="0.2">
      <c r="A461" s="66"/>
      <c r="B461" s="67"/>
      <c r="C461" s="67"/>
      <c r="D461" s="68"/>
      <c r="E461" s="69"/>
      <c r="F461" s="2"/>
      <c r="G461" s="2"/>
      <c r="H461" s="2"/>
      <c r="I461" s="4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s="1" customFormat="1" x14ac:dyDescent="0.2">
      <c r="A462" s="66"/>
      <c r="B462" s="67"/>
      <c r="C462" s="67"/>
      <c r="D462" s="68"/>
      <c r="E462" s="69"/>
      <c r="F462" s="2"/>
      <c r="G462" s="2"/>
      <c r="H462" s="2"/>
      <c r="I462" s="4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s="1" customFormat="1" x14ac:dyDescent="0.2">
      <c r="A463" s="66"/>
      <c r="B463" s="67"/>
      <c r="C463" s="67"/>
      <c r="D463" s="68"/>
      <c r="E463" s="69"/>
      <c r="F463" s="2"/>
      <c r="G463" s="2"/>
      <c r="H463" s="2"/>
      <c r="I463" s="4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s="1" customFormat="1" x14ac:dyDescent="0.2">
      <c r="A464" s="66"/>
      <c r="B464" s="67"/>
      <c r="C464" s="67"/>
      <c r="D464" s="68"/>
      <c r="E464" s="69"/>
      <c r="F464" s="2"/>
      <c r="G464" s="2"/>
      <c r="H464" s="2"/>
      <c r="I464" s="4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s="1" customFormat="1" x14ac:dyDescent="0.2">
      <c r="A465" s="66"/>
      <c r="B465" s="67"/>
      <c r="C465" s="67"/>
      <c r="D465" s="68"/>
      <c r="E465" s="69"/>
      <c r="F465" s="2"/>
      <c r="G465" s="2"/>
      <c r="H465" s="2"/>
      <c r="I465" s="4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s="1" customFormat="1" x14ac:dyDescent="0.2">
      <c r="A466" s="66"/>
      <c r="B466" s="67"/>
      <c r="C466" s="67"/>
      <c r="D466" s="68"/>
      <c r="E466" s="69"/>
      <c r="F466" s="2"/>
      <c r="G466" s="2"/>
      <c r="H466" s="2"/>
      <c r="I466" s="4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s="1" customFormat="1" x14ac:dyDescent="0.2">
      <c r="A467" s="66"/>
      <c r="B467" s="67"/>
      <c r="C467" s="67"/>
      <c r="D467" s="68"/>
      <c r="E467" s="69"/>
      <c r="F467" s="2"/>
      <c r="G467" s="2"/>
      <c r="H467" s="2"/>
      <c r="I467" s="4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s="1" customFormat="1" x14ac:dyDescent="0.2">
      <c r="A468" s="66"/>
      <c r="B468" s="67"/>
      <c r="C468" s="67"/>
      <c r="D468" s="68"/>
      <c r="E468" s="69"/>
      <c r="F468" s="2"/>
      <c r="G468" s="2"/>
      <c r="H468" s="2"/>
      <c r="I468" s="4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s="1" customFormat="1" x14ac:dyDescent="0.2">
      <c r="A469" s="66"/>
      <c r="B469" s="67"/>
      <c r="C469" s="67"/>
      <c r="D469" s="68"/>
      <c r="E469" s="69"/>
      <c r="F469" s="2"/>
      <c r="G469" s="2"/>
      <c r="H469" s="2"/>
      <c r="I469" s="4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s="1" customFormat="1" x14ac:dyDescent="0.2">
      <c r="A470" s="66"/>
      <c r="B470" s="67"/>
      <c r="C470" s="67"/>
      <c r="D470" s="68"/>
      <c r="E470" s="69"/>
      <c r="F470" s="2"/>
      <c r="G470" s="2"/>
      <c r="H470" s="2"/>
      <c r="I470" s="4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s="1" customFormat="1" x14ac:dyDescent="0.2">
      <c r="A471" s="66"/>
      <c r="B471" s="67"/>
      <c r="C471" s="67"/>
      <c r="D471" s="68"/>
      <c r="E471" s="69"/>
      <c r="F471" s="2"/>
      <c r="G471" s="2"/>
      <c r="H471" s="2"/>
      <c r="I471" s="4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s="1" customFormat="1" x14ac:dyDescent="0.2">
      <c r="A472" s="66"/>
      <c r="B472" s="67"/>
      <c r="C472" s="67"/>
      <c r="D472" s="68"/>
      <c r="E472" s="69"/>
      <c r="F472" s="2"/>
      <c r="G472" s="2"/>
      <c r="H472" s="2"/>
      <c r="I472" s="4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s="1" customFormat="1" x14ac:dyDescent="0.2">
      <c r="A473" s="66"/>
      <c r="B473" s="67"/>
      <c r="C473" s="67"/>
      <c r="D473" s="68"/>
      <c r="E473" s="69"/>
      <c r="F473" s="2"/>
      <c r="G473" s="2"/>
      <c r="H473" s="2"/>
      <c r="I473" s="4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s="1" customFormat="1" x14ac:dyDescent="0.2">
      <c r="A474" s="66"/>
      <c r="B474" s="67"/>
      <c r="C474" s="67"/>
      <c r="D474" s="68"/>
      <c r="E474" s="69"/>
      <c r="F474" s="2"/>
      <c r="G474" s="2"/>
      <c r="H474" s="2"/>
      <c r="I474" s="4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s="1" customFormat="1" x14ac:dyDescent="0.2">
      <c r="A475" s="66"/>
      <c r="B475" s="67"/>
      <c r="C475" s="67"/>
      <c r="D475" s="68"/>
      <c r="E475" s="69"/>
      <c r="F475" s="2"/>
      <c r="G475" s="2"/>
      <c r="H475" s="2"/>
      <c r="I475" s="4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s="1" customFormat="1" x14ac:dyDescent="0.2">
      <c r="A476" s="66"/>
      <c r="B476" s="67"/>
      <c r="C476" s="67"/>
      <c r="D476" s="68"/>
      <c r="E476" s="69"/>
      <c r="F476" s="2"/>
      <c r="G476" s="2"/>
      <c r="H476" s="2"/>
      <c r="I476" s="4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s="1" customFormat="1" x14ac:dyDescent="0.2">
      <c r="A477" s="66"/>
      <c r="B477" s="67"/>
      <c r="C477" s="67"/>
      <c r="D477" s="68"/>
      <c r="E477" s="69"/>
      <c r="F477" s="2"/>
      <c r="G477" s="2"/>
      <c r="H477" s="2"/>
      <c r="I477" s="4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s="1" customFormat="1" x14ac:dyDescent="0.2">
      <c r="A478" s="66"/>
      <c r="B478" s="67"/>
      <c r="C478" s="67"/>
      <c r="D478" s="68"/>
      <c r="E478" s="69"/>
      <c r="F478" s="2"/>
      <c r="G478" s="2"/>
      <c r="H478" s="2"/>
      <c r="I478" s="4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s="1" customFormat="1" x14ac:dyDescent="0.2">
      <c r="A479" s="66"/>
      <c r="B479" s="67"/>
      <c r="C479" s="67"/>
      <c r="D479" s="68"/>
      <c r="E479" s="69"/>
      <c r="F479" s="2"/>
      <c r="G479" s="2"/>
      <c r="H479" s="2"/>
      <c r="I479" s="4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s="1" customFormat="1" x14ac:dyDescent="0.2">
      <c r="A480" s="66"/>
      <c r="B480" s="67"/>
      <c r="C480" s="67"/>
      <c r="D480" s="68"/>
      <c r="E480" s="69"/>
      <c r="F480" s="2"/>
      <c r="G480" s="2"/>
      <c r="H480" s="2"/>
      <c r="I480" s="4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20" s="1" customFormat="1" x14ac:dyDescent="0.2">
      <c r="A481" s="66"/>
      <c r="B481" s="67"/>
      <c r="C481" s="67"/>
      <c r="D481" s="68"/>
      <c r="E481" s="69"/>
      <c r="F481" s="2"/>
      <c r="G481" s="2"/>
      <c r="H481" s="2"/>
      <c r="I481" s="4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20" s="1" customFormat="1" x14ac:dyDescent="0.2">
      <c r="A482" s="66"/>
      <c r="B482" s="67"/>
      <c r="C482" s="67"/>
      <c r="D482" s="68"/>
      <c r="E482" s="69"/>
      <c r="F482" s="2"/>
      <c r="G482" s="2"/>
      <c r="H482" s="2"/>
      <c r="I482" s="4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20" s="1" customFormat="1" x14ac:dyDescent="0.2">
      <c r="A483" s="66"/>
      <c r="B483" s="67"/>
      <c r="C483" s="67"/>
      <c r="D483" s="68"/>
      <c r="E483" s="69"/>
      <c r="F483" s="2"/>
      <c r="G483" s="2"/>
      <c r="H483" s="2"/>
      <c r="I483" s="4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20" s="1" customFormat="1" x14ac:dyDescent="0.2">
      <c r="A484" s="66"/>
      <c r="B484" s="67"/>
      <c r="C484" s="67"/>
      <c r="D484" s="68"/>
      <c r="E484" s="69"/>
      <c r="F484" s="2"/>
      <c r="G484" s="2"/>
      <c r="H484" s="2"/>
      <c r="I484" s="4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20" s="1" customFormat="1" x14ac:dyDescent="0.2">
      <c r="A485" s="66"/>
      <c r="B485" s="67"/>
      <c r="C485" s="67"/>
      <c r="D485" s="68"/>
      <c r="E485" s="69"/>
      <c r="F485" s="2"/>
      <c r="G485" s="2"/>
      <c r="H485" s="2"/>
      <c r="I485" s="4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20" s="1" customFormat="1" x14ac:dyDescent="0.2">
      <c r="A486" s="66"/>
      <c r="B486" s="67"/>
      <c r="C486" s="67"/>
      <c r="D486" s="68"/>
      <c r="E486" s="69"/>
      <c r="F486" s="2"/>
      <c r="G486" s="2"/>
      <c r="H486" s="2"/>
      <c r="I486" s="4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s="1" customFormat="1" x14ac:dyDescent="0.2">
      <c r="A487" s="66"/>
      <c r="B487" s="67"/>
      <c r="C487" s="67"/>
      <c r="D487" s="68"/>
      <c r="E487" s="69"/>
      <c r="F487" s="2"/>
      <c r="G487" s="2"/>
      <c r="H487" s="2"/>
      <c r="I487" s="4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s="1" customFormat="1" x14ac:dyDescent="0.2">
      <c r="A488" s="66"/>
      <c r="B488" s="67"/>
      <c r="C488" s="67"/>
      <c r="D488" s="68"/>
      <c r="E488" s="69"/>
      <c r="F488" s="2"/>
      <c r="G488" s="2"/>
      <c r="H488" s="2"/>
      <c r="I488" s="4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s="1" customFormat="1" x14ac:dyDescent="0.2">
      <c r="A489" s="66"/>
      <c r="B489" s="67"/>
      <c r="C489" s="67"/>
      <c r="D489" s="68"/>
      <c r="E489" s="69"/>
      <c r="F489" s="2"/>
      <c r="G489" s="2"/>
      <c r="H489" s="2"/>
      <c r="I489" s="4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s="1" customFormat="1" x14ac:dyDescent="0.2">
      <c r="A490" s="66"/>
      <c r="B490" s="67"/>
      <c r="C490" s="67"/>
      <c r="D490" s="68"/>
      <c r="E490" s="69"/>
      <c r="F490" s="2"/>
      <c r="G490" s="2"/>
      <c r="H490" s="2"/>
      <c r="I490" s="4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s="1" customFormat="1" ht="15.75" x14ac:dyDescent="0.25">
      <c r="A491" s="66"/>
      <c r="B491" s="67"/>
      <c r="C491" s="67"/>
      <c r="D491" s="68"/>
      <c r="E491" s="69"/>
      <c r="F491" s="2"/>
      <c r="G491" s="2"/>
      <c r="H491" s="2"/>
      <c r="I491" s="4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43"/>
    </row>
    <row r="492" spans="1:20" ht="15.75" x14ac:dyDescent="0.25">
      <c r="A492" s="66"/>
      <c r="B492" s="67"/>
      <c r="C492" s="67"/>
      <c r="D492" s="68"/>
      <c r="E492" s="69"/>
      <c r="F492" s="2"/>
      <c r="G492" s="2"/>
      <c r="H492" s="70"/>
      <c r="T492" s="43"/>
    </row>
    <row r="493" spans="1:20" ht="15.75" x14ac:dyDescent="0.25">
      <c r="A493" s="71"/>
      <c r="B493" s="71"/>
      <c r="C493" s="71"/>
      <c r="D493" s="70"/>
      <c r="E493" s="70"/>
      <c r="F493" s="70"/>
      <c r="G493" s="70"/>
      <c r="H493" s="72"/>
      <c r="T493" s="43"/>
    </row>
    <row r="494" spans="1:20" ht="15.75" x14ac:dyDescent="0.25">
      <c r="G494" s="49"/>
      <c r="T494" s="43"/>
    </row>
    <row r="495" spans="1:20" ht="15.75" x14ac:dyDescent="0.25">
      <c r="T495" s="43"/>
    </row>
    <row r="496" spans="1:20" ht="27" customHeight="1" x14ac:dyDescent="0.25">
      <c r="H496" s="74"/>
      <c r="T496" s="43"/>
    </row>
    <row r="497" spans="1:20" s="43" customFormat="1" ht="15.75" x14ac:dyDescent="0.25">
      <c r="A497" s="75"/>
      <c r="B497" s="75"/>
      <c r="C497" s="76"/>
      <c r="D497" s="76"/>
      <c r="E497" s="77"/>
      <c r="F497" s="77"/>
      <c r="G497" s="77"/>
      <c r="I497" s="4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20" s="43" customFormat="1" ht="15.75" x14ac:dyDescent="0.25">
      <c r="A498" s="52"/>
      <c r="B498" s="52"/>
      <c r="C498" s="56"/>
      <c r="D498" s="53"/>
      <c r="E498" s="53"/>
      <c r="F498" s="53"/>
      <c r="G498" s="53"/>
      <c r="H498" s="56"/>
      <c r="I498" s="4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20" s="43" customFormat="1" ht="15.75" x14ac:dyDescent="0.25">
      <c r="A499" s="52"/>
      <c r="B499" s="52"/>
      <c r="C499" s="78"/>
      <c r="D499" s="55"/>
      <c r="E499" s="55"/>
      <c r="F499" s="53"/>
      <c r="G499" s="53"/>
      <c r="H499" s="56"/>
      <c r="I499" s="4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s="43" customFormat="1" ht="15.75" x14ac:dyDescent="0.25">
      <c r="A500" s="52"/>
      <c r="B500" s="52"/>
      <c r="C500" s="78"/>
      <c r="D500" s="78"/>
      <c r="E500" s="53"/>
      <c r="F500" s="53"/>
      <c r="G500" s="53"/>
      <c r="H500" s="56"/>
      <c r="I500" s="4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s="43" customFormat="1" ht="15.75" x14ac:dyDescent="0.25">
      <c r="A501" s="52"/>
      <c r="B501" s="52"/>
      <c r="C501" s="78"/>
      <c r="D501" s="78"/>
      <c r="E501" s="53"/>
      <c r="F501" s="53"/>
      <c r="G501" s="53"/>
      <c r="H501" s="56"/>
      <c r="I501" s="4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s="43" customFormat="1" ht="15.75" x14ac:dyDescent="0.25">
      <c r="A502" s="52"/>
      <c r="B502" s="52"/>
      <c r="C502" s="78"/>
      <c r="D502" s="79"/>
      <c r="E502" s="79"/>
      <c r="F502" s="53"/>
      <c r="G502" s="53"/>
      <c r="H502" s="56"/>
      <c r="I502" s="4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s="43" customFormat="1" ht="15.75" x14ac:dyDescent="0.25">
      <c r="A503" s="56"/>
      <c r="B503" s="56"/>
      <c r="C503" s="56"/>
      <c r="D503" s="80"/>
      <c r="E503" s="80"/>
      <c r="F503" s="80"/>
      <c r="G503" s="80"/>
      <c r="H503" s="56"/>
      <c r="I503" s="4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s="43" customFormat="1" ht="12.75" customHeight="1" x14ac:dyDescent="0.25">
      <c r="A504" s="56"/>
      <c r="B504" s="81"/>
      <c r="C504" s="81"/>
      <c r="D504" s="82"/>
      <c r="E504" s="83"/>
      <c r="F504" s="83"/>
      <c r="G504" s="83"/>
      <c r="H504" s="56"/>
      <c r="I504" s="4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18" ht="30" customHeight="1" x14ac:dyDescent="0.2"/>
  </sheetData>
  <mergeCells count="23">
    <mergeCell ref="A493:C493"/>
    <mergeCell ref="A497:B497"/>
    <mergeCell ref="C497:D497"/>
    <mergeCell ref="E497:G497"/>
    <mergeCell ref="E504:G504"/>
    <mergeCell ref="C283:E283"/>
    <mergeCell ref="C284:E284"/>
    <mergeCell ref="A285:B285"/>
    <mergeCell ref="E285:G285"/>
    <mergeCell ref="A286:B286"/>
    <mergeCell ref="E286:G286"/>
    <mergeCell ref="A280:B280"/>
    <mergeCell ref="C280:E280"/>
    <mergeCell ref="F280:G280"/>
    <mergeCell ref="A281:B281"/>
    <mergeCell ref="C281:E281"/>
    <mergeCell ref="F281:G281"/>
    <mergeCell ref="A4:G4"/>
    <mergeCell ref="A5:G5"/>
    <mergeCell ref="A6:G6"/>
    <mergeCell ref="A272:C272"/>
    <mergeCell ref="E275:G275"/>
    <mergeCell ref="E279:G27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B. DE CONSUMO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dcterms:created xsi:type="dcterms:W3CDTF">2025-07-15T00:18:52Z</dcterms:created>
  <dcterms:modified xsi:type="dcterms:W3CDTF">2025-07-15T00:20:35Z</dcterms:modified>
</cp:coreProperties>
</file>