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5\CIERRE FISCAL 2025-   ENERO-DICIEMBRE 2025\SISACNOC- ENERO-DICIEMBRE 2025\"/>
    </mc:Choice>
  </mc:AlternateContent>
  <xr:revisionPtr revIDLastSave="0" documentId="13_ncr:1_{C23F096A-E951-48F0-95EC-A9F7D6BF5313}" xr6:coauthVersionLast="47" xr6:coauthVersionMax="47" xr10:uidLastSave="{00000000-0000-0000-0000-000000000000}"/>
  <bookViews>
    <workbookView xWindow="-120" yWindow="-120" windowWidth="29040" windowHeight="15720" firstSheet="2" activeTab="6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 PRESUPUESTO 2025 " sheetId="14" r:id="rId5"/>
    <sheet name="REG. NO MONETARIOS" sheetId="17" r:id="rId6"/>
    <sheet name="NOTAS " sheetId="10" r:id="rId7"/>
    <sheet name="CUADRO DE ACTIVOS" sheetId="13" state="hidden" r:id="rId8"/>
  </sheets>
  <definedNames>
    <definedName name="_Toc208202775" localSheetId="6">'NOTAS '!#REF!</definedName>
    <definedName name="_Toc243798066" localSheetId="6">'NOTAS '!#REF!</definedName>
    <definedName name="_Toc243798067" localSheetId="6">'NOTAS '!#REF!</definedName>
    <definedName name="_Toc243798068" localSheetId="6">'NOTAS '!#REF!</definedName>
    <definedName name="_Toc243798069" localSheetId="6">'NOTAS '!#REF!</definedName>
    <definedName name="_Toc243798070" localSheetId="6">'NOTAS '!#REF!</definedName>
    <definedName name="_Toc243798071" localSheetId="6">'NOTAS '!#REF!</definedName>
    <definedName name="_xlnm.Print_Area" localSheetId="0">'BALANCE GENERAL'!$A$1:$D$62</definedName>
    <definedName name="_xlnm.Print_Area" localSheetId="4">'ESTADO COMP. PRESUPUESTO 2025 '!$A$1:$G$52</definedName>
    <definedName name="_xlnm.Print_Area" localSheetId="2">'FLUJO DE EFECTIVO ACTUAL'!$A$1:$D$71</definedName>
    <definedName name="_xlnm.Print_Area" localSheetId="6">'NOTAS '!$A$1:$I$658</definedName>
    <definedName name="_xlnm.Print_Titles" localSheetId="6">'NOTAS '!$1:$6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5" l="1"/>
  <c r="B32" i="15"/>
  <c r="B30" i="15"/>
  <c r="B14" i="16"/>
  <c r="E38" i="14" l="1"/>
  <c r="D13" i="14"/>
  <c r="D10" i="14" l="1"/>
  <c r="D8" i="14"/>
  <c r="E16" i="14"/>
  <c r="E13" i="14"/>
  <c r="D251" i="10"/>
  <c r="H460" i="10"/>
  <c r="H612" i="10"/>
  <c r="G581" i="10"/>
  <c r="G570" i="10"/>
  <c r="C15" i="17" s="1"/>
  <c r="G529" i="10"/>
  <c r="G516" i="10"/>
  <c r="G495" i="10"/>
  <c r="B17" i="15" s="1"/>
  <c r="G441" i="10"/>
  <c r="G443" i="10" s="1"/>
  <c r="G428" i="10"/>
  <c r="F250" i="10"/>
  <c r="G197" i="10"/>
  <c r="G168" i="10"/>
  <c r="G167" i="10"/>
  <c r="G165" i="10"/>
  <c r="G170" i="10" s="1"/>
  <c r="G172" i="10" s="1"/>
  <c r="F267" i="10"/>
  <c r="G266" i="10"/>
  <c r="D265" i="10"/>
  <c r="D267" i="10" s="1"/>
  <c r="G264" i="10"/>
  <c r="G263" i="10"/>
  <c r="F260" i="10"/>
  <c r="D260" i="10"/>
  <c r="G259" i="10"/>
  <c r="G258" i="10"/>
  <c r="G257" i="10"/>
  <c r="I606" i="10"/>
  <c r="D28" i="5" s="1"/>
  <c r="I579" i="10"/>
  <c r="I576" i="10"/>
  <c r="I573" i="10"/>
  <c r="I571" i="10"/>
  <c r="I570" i="10"/>
  <c r="I555" i="10"/>
  <c r="D23" i="5" s="1"/>
  <c r="I529" i="10"/>
  <c r="I493" i="10"/>
  <c r="I495" i="10" s="1"/>
  <c r="I441" i="10"/>
  <c r="I443" i="10" s="1"/>
  <c r="I428" i="10"/>
  <c r="I429" i="10" s="1"/>
  <c r="I357" i="10"/>
  <c r="I280" i="10"/>
  <c r="I197" i="10"/>
  <c r="I168" i="10"/>
  <c r="I165" i="10"/>
  <c r="I170" i="10" s="1"/>
  <c r="I144" i="10"/>
  <c r="D12" i="14"/>
  <c r="D20" i="14" s="1"/>
  <c r="B42" i="16"/>
  <c r="G594" i="10"/>
  <c r="K445" i="10"/>
  <c r="F7" i="17"/>
  <c r="C7" i="17"/>
  <c r="I594" i="10"/>
  <c r="I400" i="10"/>
  <c r="G248" i="10"/>
  <c r="E37" i="14"/>
  <c r="H614" i="10" l="1"/>
  <c r="F15" i="17"/>
  <c r="G260" i="10"/>
  <c r="I260" i="10" s="1"/>
  <c r="I582" i="10"/>
  <c r="I172" i="10"/>
  <c r="G265" i="10"/>
  <c r="F268" i="10"/>
  <c r="D268" i="10"/>
  <c r="G267" i="10"/>
  <c r="K570" i="10"/>
  <c r="G582" i="10"/>
  <c r="I154" i="10"/>
  <c r="I516" i="10"/>
  <c r="G250" i="10"/>
  <c r="C19" i="17" s="1"/>
  <c r="D20" i="17" s="1"/>
  <c r="G247" i="10"/>
  <c r="G268" i="10" l="1"/>
  <c r="D21" i="16" s="1"/>
  <c r="G534" i="10"/>
  <c r="G429" i="10"/>
  <c r="G357" i="10"/>
  <c r="I268" i="10" l="1"/>
  <c r="D34" i="15"/>
  <c r="I387" i="10"/>
  <c r="F251" i="10"/>
  <c r="G249" i="10"/>
  <c r="G555" i="10"/>
  <c r="B23" i="5" l="1"/>
  <c r="G251" i="10" l="1"/>
  <c r="B18" i="15"/>
  <c r="F243" i="10" l="1"/>
  <c r="F252" i="10" s="1"/>
  <c r="D243" i="10"/>
  <c r="D252" i="10" s="1"/>
  <c r="G387" i="10" l="1"/>
  <c r="I545" i="10"/>
  <c r="I534" i="10" l="1"/>
  <c r="D21" i="5" s="1"/>
  <c r="I612" i="10" l="1"/>
  <c r="I608" i="10"/>
  <c r="I610" i="10" s="1"/>
  <c r="B21" i="5"/>
  <c r="I458" i="10"/>
  <c r="I460" i="10" s="1"/>
  <c r="I414" i="10"/>
  <c r="I372" i="10"/>
  <c r="G154" i="10"/>
  <c r="B13" i="16" s="1"/>
  <c r="D13" i="16"/>
  <c r="I614" i="10" l="1"/>
  <c r="I299" i="10"/>
  <c r="D22" i="16"/>
  <c r="D14" i="16" l="1"/>
  <c r="G242" i="10"/>
  <c r="K18" i="7" l="1"/>
  <c r="E23" i="7"/>
  <c r="K22" i="7"/>
  <c r="F9" i="17"/>
  <c r="G11" i="17" s="1"/>
  <c r="C9" i="17"/>
  <c r="D11" i="17" s="1"/>
  <c r="G606" i="10"/>
  <c r="D16" i="17"/>
  <c r="G240" i="10"/>
  <c r="G16" i="17"/>
  <c r="M18" i="7" l="1"/>
  <c r="K23" i="7"/>
  <c r="B28" i="5"/>
  <c r="C24" i="17"/>
  <c r="A7" i="5"/>
  <c r="A9" i="15" s="1"/>
  <c r="D27" i="15" l="1"/>
  <c r="I198" i="10" l="1"/>
  <c r="D16" i="16" s="1"/>
  <c r="G198" i="10"/>
  <c r="B27" i="15" l="1"/>
  <c r="D24" i="17" l="1"/>
  <c r="G22" i="17"/>
  <c r="F21" i="17"/>
  <c r="G241" i="10"/>
  <c r="G243" i="10" s="1"/>
  <c r="G185" i="10"/>
  <c r="G211" i="10"/>
  <c r="B20" i="16" s="1"/>
  <c r="G280" i="10"/>
  <c r="G299" i="10"/>
  <c r="G372" i="10"/>
  <c r="G400" i="10"/>
  <c r="G414" i="10"/>
  <c r="G458" i="10"/>
  <c r="G460" i="10" s="1"/>
  <c r="K516" i="10"/>
  <c r="G545" i="10"/>
  <c r="G612" i="10" s="1"/>
  <c r="D12" i="17"/>
  <c r="C12" i="17"/>
  <c r="G12" i="17"/>
  <c r="F12" i="17"/>
  <c r="F19" i="17" s="1"/>
  <c r="G20" i="17" s="1"/>
  <c r="A5" i="5"/>
  <c r="A7" i="15" s="1"/>
  <c r="G614" i="10" l="1"/>
  <c r="G252" i="10"/>
  <c r="B21" i="16" s="1"/>
  <c r="G24" i="17"/>
  <c r="K571" i="10"/>
  <c r="K572" i="10" s="1"/>
  <c r="G608" i="10"/>
  <c r="G610" i="10" s="1"/>
  <c r="K459" i="10"/>
  <c r="K446" i="10"/>
  <c r="K447" i="10" s="1"/>
  <c r="I243" i="10"/>
  <c r="K278" i="10"/>
  <c r="B25" i="5"/>
  <c r="B20" i="15"/>
  <c r="I252" i="10" l="1"/>
  <c r="K460" i="10"/>
  <c r="F24" i="17"/>
  <c r="D43" i="16" l="1"/>
  <c r="K10" i="7" s="1"/>
  <c r="M10" i="7" l="1"/>
  <c r="D30" i="16"/>
  <c r="D36" i="16" l="1"/>
  <c r="I211" i="10"/>
  <c r="D20" i="16" s="1"/>
  <c r="D23" i="16" l="1"/>
  <c r="I185" i="10"/>
  <c r="D15" i="16" s="1"/>
  <c r="D17" i="16" s="1"/>
  <c r="D25" i="16" l="1"/>
  <c r="D15" i="15"/>
  <c r="D16" i="15" l="1"/>
  <c r="D22" i="15" s="1"/>
  <c r="D36" i="15" s="1"/>
  <c r="D38" i="15" s="1"/>
  <c r="B37" i="15" s="1"/>
  <c r="D25" i="5"/>
  <c r="D24" i="5"/>
  <c r="D22" i="5"/>
  <c r="D20" i="5"/>
  <c r="D19" i="5"/>
  <c r="D15" i="5"/>
  <c r="D14" i="5"/>
  <c r="D42" i="16"/>
  <c r="K14" i="7" s="1"/>
  <c r="K15" i="7" s="1"/>
  <c r="D41" i="16"/>
  <c r="D35" i="16"/>
  <c r="D31" i="16"/>
  <c r="D29" i="16"/>
  <c r="D37" i="16" l="1"/>
  <c r="D32" i="16"/>
  <c r="D26" i="5"/>
  <c r="D44" i="16"/>
  <c r="D16" i="5"/>
  <c r="D32" i="5" l="1"/>
  <c r="D38" i="16"/>
  <c r="D46" i="16" s="1"/>
  <c r="B43" i="16" l="1"/>
  <c r="B41" i="16"/>
  <c r="B44" i="16" l="1"/>
  <c r="E20" i="16" l="1"/>
  <c r="B20" i="5" l="1"/>
  <c r="G16" i="14" l="1"/>
  <c r="B22" i="5" l="1"/>
  <c r="G17" i="14" s="1"/>
  <c r="B19" i="5" l="1"/>
  <c r="B15" i="5"/>
  <c r="B31" i="16"/>
  <c r="B29" i="16"/>
  <c r="B35" i="16"/>
  <c r="E35" i="16" l="1"/>
  <c r="B34" i="15" s="1"/>
  <c r="B16" i="15"/>
  <c r="B30" i="16"/>
  <c r="B32" i="16" s="1"/>
  <c r="G9" i="14" l="1"/>
  <c r="F17" i="14" l="1"/>
  <c r="F16" i="14"/>
  <c r="D19" i="14"/>
  <c r="M21" i="7" l="1"/>
  <c r="M20" i="7"/>
  <c r="M19" i="7"/>
  <c r="I15" i="7"/>
  <c r="I23" i="7" s="1"/>
  <c r="G15" i="7"/>
  <c r="G23" i="7" s="1"/>
  <c r="M13" i="7"/>
  <c r="M12" i="7"/>
  <c r="M11" i="7"/>
  <c r="E15" i="7" l="1"/>
  <c r="B15" i="15" l="1"/>
  <c r="B36" i="16"/>
  <c r="B22" i="16"/>
  <c r="B23" i="16" s="1"/>
  <c r="B37" i="16" l="1"/>
  <c r="B38" i="16" s="1"/>
  <c r="B46" i="16" s="1"/>
  <c r="G15" i="14"/>
  <c r="F15" i="14"/>
  <c r="B14" i="5"/>
  <c r="G18" i="14" l="1"/>
  <c r="F18" i="14"/>
  <c r="G10" i="14"/>
  <c r="F10" i="14"/>
  <c r="B16" i="5"/>
  <c r="G13" i="14" l="1"/>
  <c r="F13" i="14"/>
  <c r="E20" i="13"/>
  <c r="E21" i="13"/>
  <c r="G21" i="13" s="1"/>
  <c r="F11" i="14" l="1"/>
  <c r="E8" i="14"/>
  <c r="D39" i="14" s="1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5" i="16" s="1"/>
  <c r="M14" i="7" l="1"/>
  <c r="M15" i="7" s="1"/>
  <c r="B24" i="5" l="1"/>
  <c r="B26" i="5" l="1"/>
  <c r="B32" i="5" s="1"/>
  <c r="E12" i="14"/>
  <c r="D40" i="14" s="1"/>
  <c r="E19" i="14" l="1"/>
  <c r="G14" i="14"/>
  <c r="F14" i="14"/>
  <c r="M22" i="7" l="1"/>
  <c r="M23" i="7" s="1"/>
  <c r="G12" i="14"/>
  <c r="G19" i="14" s="1"/>
  <c r="F12" i="14"/>
  <c r="F19" i="14" s="1"/>
  <c r="B22" i="15"/>
  <c r="B36" i="15" l="1"/>
  <c r="B38" i="15" s="1"/>
</calcChain>
</file>

<file path=xl/sharedStrings.xml><?xml version="1.0" encoding="utf-8"?>
<sst xmlns="http://schemas.openxmlformats.org/spreadsheetml/2006/main" count="581" uniqueCount="500">
  <si>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</si>
  <si>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</si>
  <si>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</si>
  <si>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</si>
  <si>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</si>
  <si>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</si>
  <si>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</si>
  <si>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</si>
  <si>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</si>
  <si>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</si>
  <si>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</si>
  <si>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</si>
  <si>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</si>
  <si>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</si>
  <si>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</si>
  <si>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</si>
  <si>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</si>
  <si>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</si>
  <si>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</si>
  <si>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</si>
  <si>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</si>
  <si>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</si>
  <si>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</si>
  <si>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</si>
  <si>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</si>
  <si>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</si>
  <si>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</si>
  <si>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</si>
  <si>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</si>
  <si>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</si>
  <si>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</si>
  <si>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</si>
  <si>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</si>
  <si>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</si>
  <si>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</si>
  <si>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</si>
  <si>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</si>
  <si>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</si>
  <si>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</si>
  <si>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</si>
  <si>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</si>
  <si>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</si>
  <si>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</si>
  <si>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</si>
  <si>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</si>
  <si>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</si>
  <si>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</si>
  <si>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</si>
  <si>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</si>
  <si>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</si>
  <si>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</si>
  <si>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</si>
  <si>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</si>
  <si>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</si>
  <si>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</si>
  <si>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</si>
  <si>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</si>
  <si>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</si>
  <si>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</si>
  <si>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</si>
  <si>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</si>
  <si>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</si>
  <si>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</si>
  <si>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</si>
  <si>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</si>
  <si>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</si>
  <si>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</si>
  <si>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</si>
  <si>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</si>
  <si>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</si>
  <si>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</si>
  <si>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</si>
  <si>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</si>
  <si>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</si>
  <si>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</si>
  <si>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</si>
  <si>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</si>
  <si>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</si>
  <si>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</si>
  <si>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</si>
  <si>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</si>
  <si>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</si>
  <si>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</si>
  <si>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</si>
  <si>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</si>
  <si>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</si>
  <si>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</si>
  <si>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</si>
  <si>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</si>
  <si>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</si>
  <si>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</si>
  <si>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</si>
  <si>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</si>
  <si>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</si>
  <si>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</si>
  <si>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</si>
  <si>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</si>
  <si>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</si>
  <si>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</si>
  <si>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</si>
  <si>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</si>
  <si>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</si>
  <si>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</si>
  <si>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</si>
  <si>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</si>
  <si>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</si>
  <si>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</si>
  <si>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</si>
  <si>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</si>
  <si>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</si>
  <si>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</si>
  <si>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</si>
  <si>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</si>
  <si>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</si>
  <si>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</si>
  <si>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</si>
  <si>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</si>
  <si>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</si>
  <si>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</si>
  <si>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</si>
  <si>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</si>
  <si>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</si>
  <si>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</si>
  <si>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</si>
  <si>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</si>
  <si>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</si>
  <si>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</si>
  <si>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</si>
  <si>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</si>
  <si>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</si>
  <si>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</si>
  <si>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</si>
  <si>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</si>
  <si>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</si>
  <si>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</si>
  <si>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</si>
  <si>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</si>
  <si>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</si>
  <si>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</si>
  <si>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</si>
  <si>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</si>
  <si>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</si>
  <si>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</si>
  <si>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</si>
  <si>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</si>
  <si>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</si>
  <si>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</si>
  <si>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</si>
  <si>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</si>
  <si>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</si>
  <si>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</si>
  <si>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</si>
  <si>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</si>
  <si>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</si>
  <si>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</si>
  <si>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</si>
  <si>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</si>
  <si>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</si>
  <si>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</si>
  <si>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</si>
  <si>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</si>
  <si>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</si>
  <si>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</si>
  <si>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</si>
  <si>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</si>
  <si>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</si>
  <si>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</si>
  <si>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</si>
  <si>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</si>
  <si>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</si>
  <si>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</si>
  <si>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</si>
  <si>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</si>
  <si>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</si>
  <si>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</si>
  <si>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</si>
  <si>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</si>
  <si>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</si>
  <si>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</si>
  <si>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</si>
  <si>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</si>
  <si>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</si>
  <si>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</si>
  <si>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</si>
  <si>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</si>
  <si>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</si>
  <si>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</si>
  <si>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</si>
  <si>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</si>
  <si>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</si>
  <si>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</si>
  <si>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</si>
  <si>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</si>
  <si>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</si>
  <si>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</si>
  <si>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</si>
  <si>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</si>
  <si>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</si>
  <si>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</si>
  <si>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</si>
  <si>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</si>
  <si>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</si>
  <si>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</si>
  <si>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</si>
  <si>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</si>
  <si>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</si>
  <si>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</si>
  <si>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</si>
  <si>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</si>
  <si>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</si>
  <si>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</si>
  <si>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</si>
  <si>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</si>
  <si>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</si>
  <si>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</si>
  <si>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</si>
  <si>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</si>
  <si>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</si>
  <si>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</si>
  <si>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</si>
  <si>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</si>
  <si>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</si>
  <si>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</si>
  <si>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</si>
  <si>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</si>
  <si>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</si>
  <si>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</si>
  <si>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</si>
  <si>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</si>
  <si>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</si>
  <si>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</si>
  <si>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</si>
  <si>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</si>
  <si>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</si>
  <si>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</si>
  <si>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</si>
  <si>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</si>
  <si>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</si>
  <si>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</si>
  <si>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</si>
  <si>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</si>
  <si>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</si>
  <si>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</si>
  <si>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</si>
  <si>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</si>
  <si>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</si>
  <si>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</si>
  <si>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</si>
  <si>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</si>
  <si>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</si>
  <si>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</si>
  <si>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</si>
  <si>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</si>
  <si>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</si>
  <si>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</si>
  <si>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</si>
  <si>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</si>
  <si>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</si>
  <si>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</si>
  <si>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</si>
  <si>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</si>
  <si>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</si>
  <si>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</si>
  <si>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</si>
  <si>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</si>
  <si>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</si>
  <si>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</si>
  <si>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</si>
  <si>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</si>
  <si>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</si>
  <si>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</si>
  <si>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</si>
  <si>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</si>
  <si>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</si>
  <si>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</si>
  <si>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</si>
  <si>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</si>
  <si>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</si>
  <si>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</si>
  <si>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</si>
  <si>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</si>
  <si>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</si>
  <si>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</si>
  <si>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</si>
  <si>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</si>
  <si>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</si>
  <si>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</si>
  <si>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</si>
  <si>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</si>
  <si>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</si>
  <si>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</si>
  <si>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</si>
  <si>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</si>
  <si>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</si>
  <si>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</si>
  <si>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</si>
  <si>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</si>
  <si>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</si>
  <si>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</si>
  <si>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</si>
  <si>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</si>
  <si>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</si>
  <si>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</si>
  <si>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</si>
  <si>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</si>
  <si>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</si>
  <si>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</si>
  <si>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</si>
  <si>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</si>
  <si>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</si>
  <si>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</si>
  <si>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</si>
  <si>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</si>
  <si>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</si>
  <si>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</si>
  <si>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</si>
  <si>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</si>
  <si>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</si>
  <si>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</si>
  <si>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</si>
  <si>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</si>
  <si>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</si>
  <si>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</si>
  <si>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</si>
  <si>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</si>
  <si>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</si>
  <si>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</si>
  <si>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</si>
  <si>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</si>
  <si>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</si>
  <si>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</si>
  <si>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</si>
  <si>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</si>
  <si>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</si>
  <si>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</si>
  <si>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</si>
  <si>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</si>
  <si>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</si>
  <si>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 xml:space="preserve">AGUA CRYSTAL </t>
  </si>
  <si>
    <t>ASOC. DOMINICANA DE ZONAS FRANCAS (ADOZONA)</t>
  </si>
  <si>
    <t xml:space="preserve">COMPANIA DOMINICANA DE TELEFONOS </t>
  </si>
  <si>
    <t xml:space="preserve">EDITORA EL CARIBE </t>
  </si>
  <si>
    <t>EMPRESA DISTRIBUIDORA DE ELECTRICIDAD DEL ESTE S.A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</si>
  <si>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</si>
  <si>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</si>
  <si>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</si>
  <si>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</si>
  <si>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</si>
  <si>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</si>
  <si>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</si>
  <si>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</si>
  <si>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</si>
  <si>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</si>
  <si>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</si>
  <si>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</si>
  <si>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</si>
  <si>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r>
      <t xml:space="preserve">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</si>
  <si>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</si>
  <si>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</si>
  <si>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</si>
  <si>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</si>
  <si>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</si>
  <si>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</si>
  <si>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</si>
  <si>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</si>
  <si>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</si>
  <si>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</si>
  <si>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</si>
  <si>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</si>
  <si>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</si>
  <si>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</si>
  <si>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</si>
  <si>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</si>
  <si>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FLORISTERIA ZUNIFLOR SRL</t>
  </si>
  <si>
    <t>INDUSTRIAS BANILEJAS  SAS</t>
  </si>
  <si>
    <t>LAVANDERIA ROYAL</t>
  </si>
  <si>
    <t>OFICINA DE COORDINCION PRESIDENCIAL</t>
  </si>
  <si>
    <t>PADRON OFFICE SUPLY</t>
  </si>
  <si>
    <t>SUMINISTRO GUIPAK SRL</t>
  </si>
  <si>
    <t>Contribuciones al Seguro familiar de salud</t>
  </si>
  <si>
    <t>Contribuciones al fondo de pensiones</t>
  </si>
  <si>
    <t>Contribuciones al Seguro de Riesgo Laboral</t>
  </si>
  <si>
    <t>Ajuste del periodo</t>
  </si>
  <si>
    <t>Nota 25-A. :  Deterioro del Valor de Propiedad Planta y Equipo:</t>
  </si>
  <si>
    <t xml:space="preserve">         Deterioro del Valor de Propiedad, Planta y Equipo</t>
  </si>
  <si>
    <t>Total Deterioro del Valor de Propiedad, Planta y Equipo</t>
  </si>
  <si>
    <t>Deterioro del valor de Propiedad, Planta y Equipo</t>
  </si>
  <si>
    <t>`</t>
  </si>
  <si>
    <t>se ajustan, si es necesario.</t>
  </si>
  <si>
    <t xml:space="preserve">Un detalle de las cuentas por pagar a proveedores  del sector privado a corto plazo de bienes y servicios  al  31 de diciembre del año </t>
  </si>
  <si>
    <t>Un detalle de las cuentas por pagar por prestamos Empleado Feliz, con el  Banco de Reservas de la República Dominicana (BANRESERVAS)</t>
  </si>
  <si>
    <t>AYUNTAMIENTO DEL DISTSRISTO NACIONAL</t>
  </si>
  <si>
    <t>SAN MIGUEL, SRL</t>
  </si>
  <si>
    <t>SERVICIOS  E INSTALACIONES TECNICAS SRL</t>
  </si>
  <si>
    <t>Perdida en Cuentas Incobrables</t>
  </si>
  <si>
    <t>Gastos de amortización Pólizas de Seguros</t>
  </si>
  <si>
    <t>ANTHURIANA DOMINICANA, SRL</t>
  </si>
  <si>
    <t>EDISIONES VALDES, SRL</t>
  </si>
  <si>
    <t>GRUPO BVC, SRL</t>
  </si>
  <si>
    <t>INVERSIONES PEYCO, SRL</t>
  </si>
  <si>
    <t>ISLA DOM. DE PETROLEO CORP.</t>
  </si>
  <si>
    <t>MERCADO MEDIA NETWORK, C X A</t>
  </si>
  <si>
    <t>QSI GLOBAL VENTURE SRL</t>
  </si>
  <si>
    <t>SCONTO HOLDINGS, SRL</t>
  </si>
  <si>
    <t>UNIFORMES GAI, SRL</t>
  </si>
  <si>
    <t>Gastos ejecutados S/ libros CNZFE</t>
  </si>
  <si>
    <t>Resultado financiero Cnzfe(1-2)</t>
  </si>
  <si>
    <t>Resultado financiero SIGEF (1-2)</t>
  </si>
  <si>
    <t>Amortizaciones/depreciaciones/</t>
  </si>
  <si>
    <t xml:space="preserve">Fondos reponibles (Cajas Chicas) </t>
  </si>
  <si>
    <t>Fondo de devoluciones</t>
  </si>
  <si>
    <t xml:space="preserve">Cuenta Operativa BR-0100-102491690 (F-9995) </t>
  </si>
  <si>
    <t>Devolucion de Recursos a la CUT (Ingresos Diversos F-100)</t>
  </si>
  <si>
    <t>Devolucion de Recursos a la CUT (Ingresos Diversos F-9995)</t>
  </si>
  <si>
    <r>
      <t>Prestamo</t>
    </r>
    <r>
      <rPr>
        <sz val="16"/>
        <color theme="1"/>
        <rFont val="Calibri"/>
        <family val="2"/>
        <scheme val="minor"/>
      </rPr>
      <t xml:space="preserve"> empleado</t>
    </r>
    <r>
      <rPr>
        <sz val="16"/>
        <rFont val="Calibri"/>
        <family val="2"/>
        <scheme val="minor"/>
      </rPr>
      <t xml:space="preserve"> feliz </t>
    </r>
  </si>
  <si>
    <t xml:space="preserve">Dominicana, y designado como órgano rector de dicho sector del país, con domicilio en la calle Leopoldo Navarro No. 61, Edificio </t>
  </si>
  <si>
    <t xml:space="preserve">El Consejo Nacional de Zonas Francas de Exportacion (CNZFE), organismo creado por la Ley 8-90 sobre Zonas Francas en la Republica </t>
  </si>
  <si>
    <t>Saldo al 31 de diciciembre del año 2023</t>
  </si>
  <si>
    <t>DIF EN INGRESOS C/SIGEF</t>
  </si>
  <si>
    <t>DIF EN GASTOS C/SIGEF</t>
  </si>
  <si>
    <t>HUMANO SEGUROS, S A</t>
  </si>
  <si>
    <t>JAMASOL, SRL</t>
  </si>
  <si>
    <t>INVERSIONES TEJEDA VALERA FD, SRL</t>
  </si>
  <si>
    <t>QC 2000 CONSULTORES LATINOAMERICANOS, SRL</t>
  </si>
  <si>
    <t>DISLA URIBE KONCEPTO, SRL</t>
  </si>
  <si>
    <t>FERPITI INDUSTRIAL SRL</t>
  </si>
  <si>
    <t>OPTIMUM CONTROL DE PLAGAS</t>
  </si>
  <si>
    <t>GAJAV SUPPLY</t>
  </si>
  <si>
    <t>NEXALINK TECHNOLOGIES</t>
  </si>
  <si>
    <t>EFIITSA EIRL</t>
  </si>
  <si>
    <t>ANTONIO P. HACHE &amp; CO</t>
  </si>
  <si>
    <t>BANCO DE RESERVAS DE LA REP. DOM.</t>
  </si>
  <si>
    <t>EDITORA EL LISTIN DIARIO, C X A</t>
  </si>
  <si>
    <t>Obras</t>
  </si>
  <si>
    <t>Narda Valenzuela</t>
  </si>
  <si>
    <t>Contador</t>
  </si>
  <si>
    <t>Al 31 de diciembre del año 2025 y al 31 de diciembre del año 2024, los principales funcionarios y Directores  del CNZFE son los siguientes:</t>
  </si>
  <si>
    <t xml:space="preserve">Transferencias de Ingresos Corrientes y  de Capital asignado por el Gobierno Central a través del Ministerio de Industria, Comercio </t>
  </si>
  <si>
    <t xml:space="preserve">El presupuesto aprobado cubre el periodo fiscal que va desde el 1ero.de Enero hasta el 31 de diciembre del año 2025  y su ejecución por </t>
  </si>
  <si>
    <t>dependiendo del rubro a que pertenezca, según el sistema de Administracion de Bienes (SIAB).</t>
  </si>
  <si>
    <t>La vida útil estimada de los programas y software abarca un período de 5 a 10 años.</t>
  </si>
  <si>
    <t xml:space="preserve">El método de amortización, la vida útil y el valor residual son revisados anualmente, si existe evidencia de algún cambio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</si>
  <si>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</si>
  <si>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Aniversario de la entidad</t>
  </si>
  <si>
    <t>Rendimiento Individual</t>
  </si>
  <si>
    <t>Bono Sismap</t>
  </si>
  <si>
    <t>Un detalle del efectivo y equivalente Al 31 de diciembre del año 2025 y al 31 de diciembre del año 2024, es como sigue:</t>
  </si>
  <si>
    <t>Un detalle de las cuentas por cobrar a corto plazo al  31 de diciembre del año 2025  y al 31 de diciembre del año 2024, es como sigue:</t>
  </si>
  <si>
    <t>Un detalle de las partidas de inventario en almacen  al  31 de diciembre del año 2025 y al 31 de diciembre del año 2024, es como sigue:</t>
  </si>
  <si>
    <t>Un detalle de los pagos anticipados  al  31 de diciembre del año 2025 y al 31 de diciembre del año 2024, es como sigue:</t>
  </si>
  <si>
    <t>al  31 de diciembre del año 2025  y al 31 de diciembre del año 2024, es como sigue:</t>
  </si>
  <si>
    <t>Costos de Adquisición:</t>
  </si>
  <si>
    <t>Un detalle de los Activos intangibles  al  31 de diciembre del año 2025 y al 31 de diciembre del año  2024, es como sigue:</t>
  </si>
  <si>
    <t>2025 y al 31 de diciembre del año 2024,  es como sigue:</t>
  </si>
  <si>
    <t>Un detalle de las retenciones y acumulaciones por pagar  al  31 de diciembre del año 2025 y al 31 de diciembre del año 2024,</t>
  </si>
  <si>
    <t>a largo plazo,  al  31 de diciembre del año 2025 y al 31 de diciembre del año 2024, es como sigue:</t>
  </si>
  <si>
    <t xml:space="preserve">Un detalle de la cuenta de provisiones a largo plazo  al  31 de diciembre del año 2025 y al 31 de diciembre del año 2024, </t>
  </si>
  <si>
    <t>Al 31 de diciembre del año 2025 y al 31 de diciembre del año 2024,   la composición del capital de la institución es como sigue:</t>
  </si>
  <si>
    <t>de diciembre del año 2024, es como sigue:</t>
  </si>
  <si>
    <t>Un detalle de los recursos por ventas de servicios percibidos por nuestros ingresos propios,   al 31 de diciembre del año 2025 y al 31</t>
  </si>
  <si>
    <t>Comercio y  Mipymes,   al 31 de diciembre del año 2025 y al 31 de diciembre del año 2024, es como sigue:</t>
  </si>
  <si>
    <t>Un detalle de los ingresos por remuneraciones al personal  al  31 de diciembre del año 2025 y al 31 de diciembre del año 2024,</t>
  </si>
  <si>
    <r>
      <t xml:space="preserve">aquellos que ocupan la posicion de directores y sub-directores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</si>
  <si>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 xml:space="preserve">Al 31 de diciembre del año 2025 y al 31 de diciembre del año 2024, el Consejo Nacional de Zonas Francas de Exportación mantenia </t>
  </si>
  <si>
    <t>en su nómina 150 y 147  empleados respectivamente.</t>
  </si>
  <si>
    <t xml:space="preserve">Un detalle de Subvenciones y  otros pagos por transferencias corrientes  al 31 de diciembre del año 2025 y al 31 de diciembre del año 2024, </t>
  </si>
  <si>
    <t>Un detalle de los gastos de suministro y materiales  al  31 de diciembre del año 2025 y al 31 de diciembre del año 2024, es como sigue:</t>
  </si>
  <si>
    <t>Un detalle de los gastos de depreciacion y amortización  al  31 de diciembre del año 2025 y al 31 de diciembre del año 2024, es como sigue:</t>
  </si>
  <si>
    <t>Un detalle del valor en libro restante del descargo de Activos  a Bienes Nacionales al 31 de diciembre del año 2025 y al 31 de diciembre</t>
  </si>
  <si>
    <t>de diciembre del año  2025, es como sigue:</t>
  </si>
  <si>
    <t>Un detalle de los pagos por otros gastos  al  31 de diciembre del año 2025 y al 31 de diciembre del año 2024, es como sigue:</t>
  </si>
  <si>
    <t>Un detalle de los gastos financieros  al  31 de diciembre del año 2025 y al 31 de diciembre del año  2024, es como sigue:</t>
  </si>
  <si>
    <t xml:space="preserve">Un detalle de la ganancia (pérdida) en operaciones cambiarias  al 31 de diciembre del año 2025 y al 31 de diciembre  del año  2024, </t>
  </si>
  <si>
    <t xml:space="preserve"> ENERO - DICIEMBRE DE LOS  AÑOS  2025  Y  2024</t>
  </si>
  <si>
    <t>Al 31 de diciembre del año 2025 y 31 de diciembre del año 2024</t>
  </si>
  <si>
    <t>AL 31 DE DICIEMBRE DEL AÑO  2024 Y 31 DE DICIEMBRE DEL AÑO 2025</t>
  </si>
  <si>
    <t>Saldo al 31 de diciciembre del año 2024</t>
  </si>
  <si>
    <t>Saldo al 31 de diciembre del año 2025</t>
  </si>
  <si>
    <t>Durante el Período Terminado Al 31 de diciembre del año  2025</t>
  </si>
  <si>
    <t>Ingresos ejecutados S/libros CNZFE</t>
  </si>
  <si>
    <t>Cuenta ahorros dólares #BR-2-24-000978-0/ US$1,153.76*63.6423 y US$3,774.27*60.9411  -Tasa Bco. Central dic. 2025 y 2024</t>
  </si>
  <si>
    <t>Transferencias para gastos recibidas Gobierno Central</t>
  </si>
  <si>
    <t>Compensaciones especiales</t>
  </si>
  <si>
    <t>C &amp; C TECNOLOGY</t>
  </si>
  <si>
    <t>COMPUS OFFICCE</t>
  </si>
  <si>
    <t>D R PETROLIUM</t>
  </si>
  <si>
    <t>CARIBE TOURS</t>
  </si>
  <si>
    <t>SASON DE MAMA SUNNI</t>
  </si>
  <si>
    <t>EXQUISITECES VIRGINIA</t>
  </si>
  <si>
    <t>GOMERA Y ASOCS.</t>
  </si>
  <si>
    <t>PROMOPRO</t>
  </si>
  <si>
    <t>SANTO DOMINGO MOTORS</t>
  </si>
  <si>
    <t>SOLAIJICO COMERCIAL</t>
  </si>
  <si>
    <t>SOLUCIONES INTEGRALES</t>
  </si>
  <si>
    <t>SUPLIGENSA</t>
  </si>
  <si>
    <t>WINPE GROUP</t>
  </si>
  <si>
    <t>AENOR DOMINICANA</t>
  </si>
  <si>
    <t>Comisión y Gastos financieros</t>
  </si>
  <si>
    <t>El movimiento de Propiedad, Planta, Equipos y Depreciación Acumulada  al  31 de diciembre del año 2025 y al 31 de diciembre</t>
  </si>
  <si>
    <t>del año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</si>
</sst>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0" x14ac:knownFonts="1">
    <font>
      <sz val="10"/>
      <name val="Arial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Skeena"/>
    </font>
    <font>
      <sz val="11"/>
      <color theme="1"/>
      <name val="Skeena"/>
    </font>
    <font>
      <b/>
      <sz val="11"/>
      <color rgb="FF231F20"/>
      <name val="Skeena"/>
    </font>
    <font>
      <b/>
      <sz val="11"/>
      <color rgb="FF000000"/>
      <name val="Skeena"/>
    </font>
    <font>
      <b/>
      <sz val="11"/>
      <color theme="1"/>
      <name val="Skeena"/>
    </font>
    <font>
      <sz val="11"/>
      <color rgb="FF000000"/>
      <name val="Skeena"/>
    </font>
    <font>
      <sz val="11"/>
      <name val="Skeena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6" fontId="2" fillId="0" borderId="0" applyFont="0" applyFill="0" applyBorder="0" applyAlignment="0" applyProtection="0"/>
    <xf numFmtId="0" fontId="31" fillId="0" borderId="0"/>
  </cellStyleXfs>
  <cellXfs count="317">
    <xf numFmtId="0" fontId="0" fillId="0" borderId="0" xfId="0"/>
    <xf numFmtId="0" fontId="3" fillId="0" borderId="0" xfId="0" applyFont="1"/>
    <xf numFmtId="43" fontId="0" fillId="0" borderId="0" xfId="1" applyNumberFormat="1" applyFont="1"/>
    <xf numFmtId="0" fontId="6" fillId="0" borderId="1" xfId="0" applyFont="1" applyBorder="1"/>
    <xf numFmtId="43" fontId="6" fillId="0" borderId="1" xfId="1" applyNumberFormat="1" applyFont="1" applyBorder="1"/>
    <xf numFmtId="43" fontId="6" fillId="0" borderId="1" xfId="1" applyNumberFormat="1" applyFont="1" applyBorder="1" applyAlignment="1">
      <alignment horizontal="right"/>
    </xf>
    <xf numFmtId="43" fontId="5" fillId="0" borderId="1" xfId="1" applyNumberFormat="1" applyFont="1" applyBorder="1"/>
    <xf numFmtId="0" fontId="6" fillId="0" borderId="3" xfId="0" applyFont="1" applyBorder="1"/>
    <xf numFmtId="0" fontId="6" fillId="0" borderId="5" xfId="0" applyFont="1" applyBorder="1"/>
    <xf numFmtId="0" fontId="8" fillId="0" borderId="0" xfId="0" applyFont="1"/>
    <xf numFmtId="0" fontId="10" fillId="0" borderId="0" xfId="0" applyFont="1"/>
    <xf numFmtId="165" fontId="12" fillId="0" borderId="1" xfId="1" applyNumberFormat="1" applyFont="1" applyFill="1" applyBorder="1"/>
    <xf numFmtId="166" fontId="12" fillId="0" borderId="0" xfId="1" applyFont="1" applyFill="1"/>
    <xf numFmtId="166" fontId="12" fillId="0" borderId="0" xfId="1" applyFont="1" applyFill="1" applyBorder="1"/>
    <xf numFmtId="166" fontId="13" fillId="0" borderId="0" xfId="1" applyFont="1" applyFill="1" applyBorder="1"/>
    <xf numFmtId="0" fontId="19" fillId="2" borderId="0" xfId="0" applyFont="1" applyFill="1" applyAlignment="1">
      <alignment horizontal="center"/>
    </xf>
    <xf numFmtId="0" fontId="20" fillId="0" borderId="0" xfId="0" applyFont="1"/>
    <xf numFmtId="0" fontId="19" fillId="2" borderId="0" xfId="0" applyFont="1" applyFill="1"/>
    <xf numFmtId="0" fontId="20" fillId="2" borderId="0" xfId="0" applyFont="1" applyFill="1"/>
    <xf numFmtId="166" fontId="20" fillId="0" borderId="0" xfId="0" applyNumberFormat="1" applyFont="1"/>
    <xf numFmtId="167" fontId="20" fillId="2" borderId="0" xfId="1" applyNumberFormat="1" applyFont="1" applyFill="1" applyBorder="1" applyAlignment="1">
      <alignment horizontal="right"/>
    </xf>
    <xf numFmtId="166" fontId="20" fillId="2" borderId="0" xfId="1" applyFont="1" applyFill="1" applyBorder="1" applyAlignment="1">
      <alignment horizontal="right"/>
    </xf>
    <xf numFmtId="166" fontId="19" fillId="2" borderId="0" xfId="1" applyFont="1" applyFill="1" applyBorder="1" applyAlignment="1">
      <alignment horizontal="right"/>
    </xf>
    <xf numFmtId="166" fontId="20" fillId="0" borderId="0" xfId="1" applyFont="1"/>
    <xf numFmtId="0" fontId="19" fillId="2" borderId="0" xfId="0" applyFont="1" applyFill="1" applyAlignment="1">
      <alignment horizontal="right"/>
    </xf>
    <xf numFmtId="166" fontId="20" fillId="2" borderId="0" xfId="1" applyFont="1" applyFill="1" applyBorder="1"/>
    <xf numFmtId="167" fontId="19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 indent="3"/>
    </xf>
    <xf numFmtId="0" fontId="20" fillId="2" borderId="0" xfId="0" applyFont="1" applyFill="1" applyAlignment="1">
      <alignment horizontal="left"/>
    </xf>
    <xf numFmtId="0" fontId="19" fillId="2" borderId="0" xfId="0" applyFont="1" applyFill="1" applyAlignment="1">
      <alignment horizontal="left" indent="4"/>
    </xf>
    <xf numFmtId="0" fontId="20" fillId="2" borderId="0" xfId="0" applyFont="1" applyFill="1" applyAlignment="1">
      <alignment horizontal="left" indent="4"/>
    </xf>
    <xf numFmtId="165" fontId="20" fillId="0" borderId="0" xfId="0" applyNumberFormat="1" applyFont="1"/>
    <xf numFmtId="167" fontId="20" fillId="2" borderId="0" xfId="1" applyNumberFormat="1" applyFont="1" applyFill="1" applyBorder="1"/>
    <xf numFmtId="167" fontId="19" fillId="2" borderId="0" xfId="1" applyNumberFormat="1" applyFont="1" applyFill="1" applyBorder="1"/>
    <xf numFmtId="166" fontId="20" fillId="2" borderId="0" xfId="1" applyFont="1" applyFill="1"/>
    <xf numFmtId="0" fontId="19" fillId="2" borderId="0" xfId="0" applyFont="1" applyFill="1" applyAlignment="1">
      <alignment vertical="top"/>
    </xf>
    <xf numFmtId="0" fontId="20" fillId="2" borderId="0" xfId="0" applyFont="1" applyFill="1" applyAlignment="1">
      <alignment horizontal="right" vertical="top" indent="5"/>
    </xf>
    <xf numFmtId="166" fontId="20" fillId="0" borderId="0" xfId="1" applyFont="1" applyFill="1"/>
    <xf numFmtId="167" fontId="20" fillId="2" borderId="0" xfId="1" applyNumberFormat="1" applyFont="1" applyFill="1" applyBorder="1" applyAlignment="1">
      <alignment horizontal="right" vertical="top"/>
    </xf>
    <xf numFmtId="0" fontId="19" fillId="0" borderId="0" xfId="0" applyFont="1"/>
    <xf numFmtId="167" fontId="19" fillId="2" borderId="0" xfId="1" applyNumberFormat="1" applyFont="1" applyFill="1" applyBorder="1" applyAlignment="1">
      <alignment horizontal="right" vertical="top"/>
    </xf>
    <xf numFmtId="167" fontId="20" fillId="2" borderId="0" xfId="1" quotePrefix="1" applyNumberFormat="1" applyFont="1" applyFill="1" applyBorder="1" applyAlignment="1">
      <alignment horizontal="right" vertical="top"/>
    </xf>
    <xf numFmtId="166" fontId="20" fillId="2" borderId="0" xfId="1" quotePrefix="1" applyFont="1" applyFill="1" applyBorder="1" applyAlignment="1">
      <alignment horizontal="right" vertical="top"/>
    </xf>
    <xf numFmtId="166" fontId="19" fillId="2" borderId="0" xfId="1" applyFont="1" applyFill="1" applyBorder="1" applyAlignment="1">
      <alignment horizontal="right" vertical="top"/>
    </xf>
    <xf numFmtId="167" fontId="19" fillId="2" borderId="0" xfId="0" applyNumberFormat="1" applyFont="1" applyFill="1" applyAlignment="1">
      <alignment horizontal="center" vertical="top"/>
    </xf>
    <xf numFmtId="167" fontId="19" fillId="2" borderId="0" xfId="0" applyNumberFormat="1" applyFont="1" applyFill="1" applyAlignment="1">
      <alignment horizontal="right" vertical="top"/>
    </xf>
    <xf numFmtId="0" fontId="20" fillId="2" borderId="0" xfId="0" applyFont="1" applyFill="1" applyAlignment="1">
      <alignment vertical="top"/>
    </xf>
    <xf numFmtId="0" fontId="19" fillId="2" borderId="0" xfId="0" applyFont="1" applyFill="1" applyAlignment="1">
      <alignment horizontal="right" vertical="top"/>
    </xf>
    <xf numFmtId="166" fontId="20" fillId="2" borderId="0" xfId="1" applyFont="1" applyFill="1" applyBorder="1" applyAlignment="1">
      <alignment horizontal="right" vertical="top"/>
    </xf>
    <xf numFmtId="0" fontId="20" fillId="2" borderId="0" xfId="0" applyFont="1" applyFill="1" applyAlignment="1">
      <alignment horizontal="right" vertical="top"/>
    </xf>
    <xf numFmtId="165" fontId="20" fillId="2" borderId="0" xfId="0" applyNumberFormat="1" applyFont="1" applyFill="1"/>
    <xf numFmtId="0" fontId="18" fillId="0" borderId="0" xfId="0" applyFont="1"/>
    <xf numFmtId="166" fontId="18" fillId="0" borderId="0" xfId="1" applyFont="1" applyFill="1"/>
    <xf numFmtId="0" fontId="20" fillId="2" borderId="0" xfId="0" applyFont="1" applyFill="1" applyAlignment="1">
      <alignment horizontal="left" indent="5"/>
    </xf>
    <xf numFmtId="17" fontId="19" fillId="2" borderId="0" xfId="0" quotePrefix="1" applyNumberFormat="1" applyFont="1" applyFill="1" applyAlignment="1">
      <alignment horizontal="center"/>
    </xf>
    <xf numFmtId="167" fontId="20" fillId="2" borderId="0" xfId="1" applyNumberFormat="1" applyFont="1" applyFill="1" applyAlignment="1">
      <alignment horizontal="right"/>
    </xf>
    <xf numFmtId="166" fontId="20" fillId="2" borderId="0" xfId="1" applyFont="1" applyFill="1" applyAlignment="1">
      <alignment horizontal="right"/>
    </xf>
    <xf numFmtId="167" fontId="19" fillId="2" borderId="0" xfId="1" applyNumberFormat="1" applyFont="1" applyFill="1" applyBorder="1" applyAlignment="1">
      <alignment horizontal="right"/>
    </xf>
    <xf numFmtId="167" fontId="20" fillId="2" borderId="0" xfId="0" applyNumberFormat="1" applyFont="1" applyFill="1"/>
    <xf numFmtId="167" fontId="20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right"/>
    </xf>
    <xf numFmtId="167" fontId="20" fillId="0" borderId="0" xfId="1" applyNumberFormat="1" applyFont="1"/>
    <xf numFmtId="167" fontId="20" fillId="0" borderId="0" xfId="1" applyNumberFormat="1" applyFont="1" applyFill="1" applyAlignment="1">
      <alignment horizontal="right"/>
    </xf>
    <xf numFmtId="166" fontId="13" fillId="0" borderId="0" xfId="1" applyFont="1" applyFill="1"/>
    <xf numFmtId="0" fontId="19" fillId="2" borderId="2" xfId="0" quotePrefix="1" applyFont="1" applyFill="1" applyBorder="1" applyAlignment="1">
      <alignment horizontal="center"/>
    </xf>
    <xf numFmtId="167" fontId="20" fillId="2" borderId="0" xfId="1" applyNumberFormat="1" applyFont="1" applyFill="1" applyBorder="1" applyAlignment="1">
      <alignment horizontal="center" vertical="top"/>
    </xf>
    <xf numFmtId="167" fontId="20" fillId="0" borderId="0" xfId="1" applyNumberFormat="1" applyFont="1" applyFill="1" applyBorder="1" applyAlignment="1">
      <alignment horizontal="right"/>
    </xf>
    <xf numFmtId="166" fontId="20" fillId="0" borderId="0" xfId="1" applyFont="1" applyFill="1" applyBorder="1" applyAlignment="1">
      <alignment horizontal="right"/>
    </xf>
    <xf numFmtId="167" fontId="20" fillId="0" borderId="0" xfId="0" applyNumberFormat="1" applyFont="1"/>
    <xf numFmtId="0" fontId="30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170" fontId="32" fillId="0" borderId="0" xfId="2" applyNumberFormat="1" applyFont="1"/>
    <xf numFmtId="170" fontId="7" fillId="0" borderId="13" xfId="2" applyNumberFormat="1" applyFont="1" applyBorder="1"/>
    <xf numFmtId="0" fontId="9" fillId="3" borderId="0" xfId="0" applyFont="1" applyFill="1"/>
    <xf numFmtId="170" fontId="32" fillId="3" borderId="0" xfId="2" applyNumberFormat="1" applyFont="1" applyFill="1"/>
    <xf numFmtId="167" fontId="20" fillId="0" borderId="0" xfId="1" applyNumberFormat="1" applyFont="1" applyFill="1" applyBorder="1" applyAlignment="1">
      <alignment horizontal="right" vertical="top"/>
    </xf>
    <xf numFmtId="167" fontId="20" fillId="0" borderId="0" xfId="1" quotePrefix="1" applyNumberFormat="1" applyFont="1" applyFill="1" applyBorder="1" applyAlignment="1">
      <alignment horizontal="right" vertical="top"/>
    </xf>
    <xf numFmtId="0" fontId="19" fillId="0" borderId="0" xfId="0" applyFont="1" applyAlignment="1">
      <alignment vertical="top"/>
    </xf>
    <xf numFmtId="167" fontId="19" fillId="0" borderId="0" xfId="1" applyNumberFormat="1" applyFont="1" applyFill="1" applyBorder="1" applyAlignment="1">
      <alignment horizontal="right" vertical="top"/>
    </xf>
    <xf numFmtId="166" fontId="19" fillId="0" borderId="0" xfId="1" applyFont="1" applyFill="1" applyBorder="1" applyAlignment="1">
      <alignment horizontal="right" vertical="top"/>
    </xf>
    <xf numFmtId="166" fontId="20" fillId="0" borderId="0" xfId="1" applyFont="1" applyFill="1" applyBorder="1"/>
    <xf numFmtId="0" fontId="24" fillId="0" borderId="0" xfId="0" applyFont="1"/>
    <xf numFmtId="0" fontId="19" fillId="0" borderId="0" xfId="0" applyFont="1" applyAlignment="1">
      <alignment horizontal="right"/>
    </xf>
    <xf numFmtId="165" fontId="13" fillId="0" borderId="0" xfId="1" applyNumberFormat="1" applyFont="1" applyFill="1" applyBorder="1"/>
    <xf numFmtId="166" fontId="12" fillId="0" borderId="12" xfId="1" applyFont="1" applyFill="1" applyBorder="1"/>
    <xf numFmtId="166" fontId="13" fillId="0" borderId="14" xfId="1" applyFont="1" applyFill="1" applyBorder="1" applyAlignment="1"/>
    <xf numFmtId="167" fontId="20" fillId="2" borderId="12" xfId="1" applyNumberFormat="1" applyFont="1" applyFill="1" applyBorder="1" applyAlignment="1">
      <alignment horizontal="right"/>
    </xf>
    <xf numFmtId="167" fontId="20" fillId="0" borderId="12" xfId="1" applyNumberFormat="1" applyFont="1" applyFill="1" applyBorder="1" applyAlignment="1">
      <alignment horizontal="right"/>
    </xf>
    <xf numFmtId="167" fontId="19" fillId="2" borderId="14" xfId="1" applyNumberFormat="1" applyFont="1" applyFill="1" applyBorder="1" applyAlignment="1">
      <alignment horizontal="right"/>
    </xf>
    <xf numFmtId="167" fontId="20" fillId="2" borderId="12" xfId="1" applyNumberFormat="1" applyFont="1" applyFill="1" applyBorder="1" applyAlignment="1">
      <alignment horizontal="right" vertical="top"/>
    </xf>
    <xf numFmtId="167" fontId="20" fillId="0" borderId="12" xfId="1" quotePrefix="1" applyNumberFormat="1" applyFont="1" applyFill="1" applyBorder="1" applyAlignment="1">
      <alignment horizontal="right" vertical="top"/>
    </xf>
    <xf numFmtId="167" fontId="19" fillId="2" borderId="13" xfId="1" applyNumberFormat="1" applyFont="1" applyFill="1" applyBorder="1" applyAlignment="1">
      <alignment vertical="top"/>
    </xf>
    <xf numFmtId="167" fontId="19" fillId="2" borderId="4" xfId="0" applyNumberFormat="1" applyFont="1" applyFill="1" applyBorder="1" applyAlignment="1">
      <alignment horizontal="right"/>
    </xf>
    <xf numFmtId="167" fontId="20" fillId="2" borderId="12" xfId="1" applyNumberFormat="1" applyFont="1" applyFill="1" applyBorder="1"/>
    <xf numFmtId="170" fontId="7" fillId="0" borderId="0" xfId="2" applyNumberFormat="1" applyFont="1"/>
    <xf numFmtId="170" fontId="32" fillId="0" borderId="12" xfId="2" applyNumberFormat="1" applyFont="1" applyBorder="1"/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35" fillId="0" borderId="0" xfId="0" applyFont="1"/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64" fontId="38" fillId="0" borderId="0" xfId="0" applyNumberFormat="1" applyFont="1"/>
    <xf numFmtId="164" fontId="38" fillId="0" borderId="0" xfId="0" applyNumberFormat="1" applyFont="1" applyAlignment="1">
      <alignment horizontal="left" vertical="center" indent="5"/>
    </xf>
    <xf numFmtId="164" fontId="38" fillId="0" borderId="0" xfId="0" applyNumberFormat="1" applyFont="1" applyAlignment="1">
      <alignment vertical="center"/>
    </xf>
    <xf numFmtId="166" fontId="35" fillId="0" borderId="0" xfId="1" applyFont="1" applyBorder="1" applyAlignment="1">
      <alignment vertical="center"/>
    </xf>
    <xf numFmtId="165" fontId="36" fillId="0" borderId="0" xfId="0" applyNumberFormat="1" applyFont="1" applyAlignment="1">
      <alignment vertical="center"/>
    </xf>
    <xf numFmtId="0" fontId="38" fillId="0" borderId="0" xfId="0" applyFont="1"/>
    <xf numFmtId="0" fontId="36" fillId="0" borderId="0" xfId="0" applyFont="1"/>
    <xf numFmtId="164" fontId="35" fillId="0" borderId="0" xfId="0" applyNumberFormat="1" applyFont="1" applyAlignment="1">
      <alignment vertical="center"/>
    </xf>
    <xf numFmtId="164" fontId="38" fillId="0" borderId="12" xfId="0" applyNumberFormat="1" applyFont="1" applyBorder="1"/>
    <xf numFmtId="167" fontId="38" fillId="0" borderId="12" xfId="1" applyNumberFormat="1" applyFont="1" applyBorder="1" applyAlignment="1">
      <alignment horizontal="center" vertical="center" wrapText="1"/>
    </xf>
    <xf numFmtId="164" fontId="34" fillId="0" borderId="0" xfId="0" applyNumberFormat="1" applyFont="1"/>
    <xf numFmtId="164" fontId="34" fillId="0" borderId="0" xfId="0" applyNumberFormat="1" applyFont="1" applyAlignment="1">
      <alignment horizontal="left" vertical="center" indent="5"/>
    </xf>
    <xf numFmtId="164" fontId="34" fillId="0" borderId="0" xfId="0" applyNumberFormat="1" applyFont="1" applyAlignment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3" fontId="38" fillId="0" borderId="12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vertical="center"/>
    </xf>
    <xf numFmtId="164" fontId="40" fillId="0" borderId="0" xfId="0" applyNumberFormat="1" applyFont="1" applyAlignment="1">
      <alignment horizontal="left" vertical="center" indent="4"/>
    </xf>
    <xf numFmtId="170" fontId="34" fillId="0" borderId="13" xfId="0" applyNumberFormat="1" applyFont="1" applyBorder="1" applyAlignment="1">
      <alignment vertical="center"/>
    </xf>
    <xf numFmtId="164" fontId="34" fillId="0" borderId="13" xfId="0" applyNumberFormat="1" applyFont="1" applyBorder="1" applyAlignment="1">
      <alignment horizontal="right"/>
    </xf>
    <xf numFmtId="164" fontId="35" fillId="0" borderId="0" xfId="0" applyNumberFormat="1" applyFont="1"/>
    <xf numFmtId="0" fontId="39" fillId="2" borderId="0" xfId="0" applyFont="1" applyFill="1"/>
    <xf numFmtId="0" fontId="39" fillId="2" borderId="0" xfId="0" applyFont="1" applyFill="1" applyAlignment="1">
      <alignment horizontal="center"/>
    </xf>
    <xf numFmtId="165" fontId="35" fillId="0" borderId="0" xfId="0" applyNumberFormat="1" applyFont="1" applyAlignment="1">
      <alignment vertical="center"/>
    </xf>
    <xf numFmtId="164" fontId="34" fillId="0" borderId="13" xfId="0" applyNumberFormat="1" applyFont="1" applyBorder="1"/>
    <xf numFmtId="166" fontId="13" fillId="0" borderId="0" xfId="1" applyFont="1" applyFill="1" applyBorder="1" applyAlignment="1"/>
    <xf numFmtId="170" fontId="8" fillId="0" borderId="0" xfId="0" applyNumberFormat="1" applyFont="1"/>
    <xf numFmtId="0" fontId="20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165" fontId="19" fillId="2" borderId="0" xfId="0" applyNumberFormat="1" applyFont="1" applyFill="1" applyAlignment="1">
      <alignment horizontal="center"/>
    </xf>
    <xf numFmtId="167" fontId="19" fillId="2" borderId="0" xfId="1" applyNumberFormat="1" applyFont="1" applyFill="1" applyBorder="1" applyAlignment="1">
      <alignment vertical="top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top" wrapText="1"/>
    </xf>
    <xf numFmtId="168" fontId="46" fillId="0" borderId="0" xfId="0" applyNumberFormat="1" applyFont="1" applyAlignment="1">
      <alignment horizontal="left" vertical="top" wrapText="1"/>
    </xf>
    <xf numFmtId="0" fontId="43" fillId="0" borderId="0" xfId="0" applyFont="1" applyAlignment="1">
      <alignment horizontal="left" vertical="top" wrapText="1"/>
    </xf>
    <xf numFmtId="166" fontId="47" fillId="0" borderId="0" xfId="1" applyFont="1" applyBorder="1" applyAlignment="1"/>
    <xf numFmtId="166" fontId="43" fillId="0" borderId="0" xfId="1" applyFont="1" applyFill="1" applyBorder="1" applyAlignment="1">
      <alignment horizontal="center" vertical="top" wrapText="1"/>
    </xf>
    <xf numFmtId="169" fontId="48" fillId="0" borderId="0" xfId="0" applyNumberFormat="1" applyFont="1" applyAlignment="1">
      <alignment horizontal="left" vertical="top" wrapText="1"/>
    </xf>
    <xf numFmtId="0" fontId="49" fillId="0" borderId="0" xfId="0" applyFont="1" applyAlignment="1">
      <alignment horizontal="left" vertical="top" wrapText="1"/>
    </xf>
    <xf numFmtId="166" fontId="44" fillId="0" borderId="0" xfId="1" applyFont="1" applyBorder="1" applyAlignment="1"/>
    <xf numFmtId="166" fontId="49" fillId="0" borderId="0" xfId="1" applyFont="1"/>
    <xf numFmtId="166" fontId="49" fillId="0" borderId="0" xfId="1" applyFont="1" applyFill="1" applyBorder="1" applyAlignment="1">
      <alignment horizontal="center" vertical="top" wrapText="1"/>
    </xf>
    <xf numFmtId="4" fontId="49" fillId="0" borderId="0" xfId="0" applyNumberFormat="1" applyFont="1"/>
    <xf numFmtId="165" fontId="44" fillId="0" borderId="0" xfId="0" applyNumberFormat="1" applyFont="1"/>
    <xf numFmtId="164" fontId="44" fillId="0" borderId="0" xfId="0" applyNumberFormat="1" applyFont="1"/>
    <xf numFmtId="166" fontId="44" fillId="0" borderId="0" xfId="1" applyFont="1" applyFill="1" applyBorder="1" applyAlignment="1"/>
    <xf numFmtId="4" fontId="44" fillId="0" borderId="0" xfId="0" applyNumberFormat="1" applyFont="1"/>
    <xf numFmtId="0" fontId="44" fillId="0" borderId="0" xfId="0" applyFont="1" applyAlignment="1">
      <alignment horizontal="left" vertical="top" wrapText="1"/>
    </xf>
    <xf numFmtId="166" fontId="43" fillId="0" borderId="0" xfId="1" applyFont="1" applyFill="1" applyBorder="1" applyAlignment="1">
      <alignment horizontal="center" vertical="center" wrapText="1"/>
    </xf>
    <xf numFmtId="166" fontId="43" fillId="0" borderId="0" xfId="1" applyFont="1" applyFill="1" applyBorder="1" applyAlignment="1">
      <alignment horizontal="left" vertical="center" wrapText="1"/>
    </xf>
    <xf numFmtId="166" fontId="44" fillId="0" borderId="0" xfId="1" applyFont="1" applyBorder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left" vertical="center"/>
    </xf>
    <xf numFmtId="164" fontId="44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/>
    <xf numFmtId="166" fontId="47" fillId="0" borderId="0" xfId="1" applyFont="1" applyBorder="1"/>
    <xf numFmtId="165" fontId="47" fillId="0" borderId="0" xfId="0" applyNumberFormat="1" applyFont="1"/>
    <xf numFmtId="0" fontId="45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2" fillId="0" borderId="0" xfId="0" applyFont="1"/>
    <xf numFmtId="165" fontId="12" fillId="0" borderId="0" xfId="0" applyNumberFormat="1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13" fillId="0" borderId="0" xfId="0" applyFont="1"/>
    <xf numFmtId="165" fontId="13" fillId="0" borderId="0" xfId="0" applyNumberFormat="1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0" fontId="28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1" xfId="0" quotePrefix="1" applyFont="1" applyBorder="1" applyAlignment="1">
      <alignment horizontal="center" vertical="center"/>
    </xf>
    <xf numFmtId="165" fontId="13" fillId="0" borderId="1" xfId="0" quotePrefix="1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10" xfId="0" applyFont="1" applyBorder="1" applyAlignment="1">
      <alignment horizontal="left"/>
    </xf>
    <xf numFmtId="165" fontId="12" fillId="0" borderId="1" xfId="0" quotePrefix="1" applyNumberFormat="1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165" fontId="13" fillId="0" borderId="1" xfId="1" applyNumberFormat="1" applyFont="1" applyFill="1" applyBorder="1"/>
    <xf numFmtId="165" fontId="14" fillId="0" borderId="0" xfId="0" applyNumberFormat="1" applyFont="1"/>
    <xf numFmtId="165" fontId="13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43" fontId="12" fillId="0" borderId="1" xfId="0" quotePrefix="1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2" fillId="0" borderId="0" xfId="0" applyNumberFormat="1" applyFont="1" applyAlignment="1">
      <alignment horizontal="left"/>
    </xf>
    <xf numFmtId="0" fontId="13" fillId="0" borderId="1" xfId="0" quotePrefix="1" applyFont="1" applyBorder="1" applyAlignment="1">
      <alignment horizontal="center"/>
    </xf>
    <xf numFmtId="0" fontId="26" fillId="0" borderId="4" xfId="0" applyFont="1" applyBorder="1" applyAlignment="1">
      <alignment horizontal="left"/>
    </xf>
    <xf numFmtId="0" fontId="26" fillId="0" borderId="5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165" fontId="29" fillId="0" borderId="0" xfId="0" applyNumberFormat="1" applyFont="1"/>
    <xf numFmtId="165" fontId="15" fillId="0" borderId="0" xfId="0" applyNumberFormat="1" applyFont="1"/>
    <xf numFmtId="43" fontId="13" fillId="0" borderId="0" xfId="0" applyNumberFormat="1" applyFont="1"/>
    <xf numFmtId="43" fontId="12" fillId="0" borderId="0" xfId="0" applyNumberFormat="1" applyFont="1"/>
    <xf numFmtId="0" fontId="25" fillId="0" borderId="4" xfId="0" applyFont="1" applyBorder="1" applyAlignment="1">
      <alignment horizontal="left"/>
    </xf>
    <xf numFmtId="165" fontId="12" fillId="0" borderId="0" xfId="1" applyNumberFormat="1" applyFont="1" applyFill="1"/>
    <xf numFmtId="165" fontId="12" fillId="0" borderId="0" xfId="1" applyNumberFormat="1" applyFont="1" applyFill="1" applyBorder="1"/>
    <xf numFmtId="0" fontId="13" fillId="0" borderId="15" xfId="0" applyFont="1" applyBorder="1" applyAlignment="1">
      <alignment vertical="top"/>
    </xf>
    <xf numFmtId="0" fontId="13" fillId="0" borderId="16" xfId="0" applyFont="1" applyBorder="1"/>
    <xf numFmtId="0" fontId="13" fillId="0" borderId="16" xfId="0" applyFont="1" applyBorder="1" applyAlignment="1">
      <alignment horizontal="center" wrapText="1"/>
    </xf>
    <xf numFmtId="165" fontId="13" fillId="0" borderId="17" xfId="0" applyNumberFormat="1" applyFont="1" applyBorder="1" applyAlignment="1">
      <alignment horizontal="center" vertical="center"/>
    </xf>
    <xf numFmtId="0" fontId="12" fillId="0" borderId="2" xfId="0" applyFont="1" applyBorder="1"/>
    <xf numFmtId="165" fontId="12" fillId="0" borderId="12" xfId="0" applyNumberFormat="1" applyFont="1" applyBorder="1"/>
    <xf numFmtId="166" fontId="12" fillId="0" borderId="12" xfId="0" applyNumberFormat="1" applyFont="1" applyBorder="1"/>
    <xf numFmtId="0" fontId="16" fillId="0" borderId="0" xfId="0" applyFont="1"/>
    <xf numFmtId="166" fontId="12" fillId="0" borderId="0" xfId="1" applyFont="1" applyFill="1" applyAlignment="1"/>
    <xf numFmtId="165" fontId="13" fillId="0" borderId="0" xfId="0" quotePrefix="1" applyNumberFormat="1" applyFont="1" applyAlignment="1">
      <alignment horizontal="center"/>
    </xf>
    <xf numFmtId="0" fontId="12" fillId="0" borderId="3" xfId="0" applyFont="1" applyBorder="1"/>
    <xf numFmtId="0" fontId="12" fillId="0" borderId="4" xfId="0" applyFont="1" applyBorder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165" fontId="12" fillId="0" borderId="1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165" fontId="12" fillId="0" borderId="21" xfId="0" applyNumberFormat="1" applyFont="1" applyBorder="1" applyAlignment="1">
      <alignment horizontal="right"/>
    </xf>
    <xf numFmtId="0" fontId="13" fillId="0" borderId="4" xfId="0" applyFont="1" applyBorder="1"/>
    <xf numFmtId="165" fontId="13" fillId="0" borderId="1" xfId="0" applyNumberFormat="1" applyFont="1" applyBorder="1" applyAlignment="1">
      <alignment horizontal="right"/>
    </xf>
    <xf numFmtId="165" fontId="13" fillId="0" borderId="1" xfId="0" applyNumberFormat="1" applyFont="1" applyBorder="1"/>
    <xf numFmtId="0" fontId="12" fillId="0" borderId="5" xfId="0" applyFont="1" applyBorder="1"/>
    <xf numFmtId="0" fontId="13" fillId="0" borderId="3" xfId="0" applyFont="1" applyBorder="1"/>
    <xf numFmtId="0" fontId="13" fillId="0" borderId="5" xfId="0" applyFont="1" applyBorder="1"/>
    <xf numFmtId="165" fontId="17" fillId="0" borderId="0" xfId="0" applyNumberFormat="1" applyFont="1"/>
    <xf numFmtId="0" fontId="26" fillId="0" borderId="0" xfId="0" applyFont="1"/>
    <xf numFmtId="165" fontId="12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2" xfId="0" applyFont="1" applyBorder="1"/>
    <xf numFmtId="0" fontId="13" fillId="0" borderId="3" xfId="0" applyFont="1" applyBorder="1" applyAlignment="1">
      <alignment horizontal="center"/>
    </xf>
    <xf numFmtId="0" fontId="12" fillId="0" borderId="9" xfId="0" applyFont="1" applyBorder="1"/>
    <xf numFmtId="0" fontId="12" fillId="0" borderId="18" xfId="0" applyFont="1" applyBorder="1"/>
    <xf numFmtId="0" fontId="12" fillId="0" borderId="10" xfId="0" applyFont="1" applyBorder="1"/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167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left" indent="3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 indent="4"/>
    </xf>
    <xf numFmtId="0" fontId="20" fillId="0" borderId="0" xfId="0" applyFont="1" applyAlignment="1">
      <alignment horizontal="left" indent="4"/>
    </xf>
    <xf numFmtId="0" fontId="1" fillId="0" borderId="0" xfId="0" applyFont="1"/>
    <xf numFmtId="0" fontId="41" fillId="0" borderId="3" xfId="0" applyFont="1" applyBorder="1" applyAlignment="1">
      <alignment horizontal="left"/>
    </xf>
    <xf numFmtId="0" fontId="41" fillId="0" borderId="4" xfId="0" applyFont="1" applyBorder="1" applyAlignment="1">
      <alignment horizontal="left"/>
    </xf>
    <xf numFmtId="0" fontId="41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66" fontId="12" fillId="0" borderId="4" xfId="1" applyFont="1" applyFill="1" applyBorder="1" applyAlignment="1">
      <alignment horizontal="center" vertical="center"/>
    </xf>
    <xf numFmtId="166" fontId="12" fillId="0" borderId="5" xfId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 wrapText="1"/>
    </xf>
    <xf numFmtId="0" fontId="19" fillId="0" borderId="0" xfId="0" applyFont="1" applyAlignment="1">
      <alignment horizontal="center" wrapText="1"/>
    </xf>
    <xf numFmtId="0" fontId="3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43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3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5" fillId="0" borderId="7" xfId="1" applyNumberFormat="1" applyFont="1" applyBorder="1" applyAlignment="1">
      <alignment horizontal="center"/>
    </xf>
    <xf numFmtId="43" fontId="5" fillId="0" borderId="11" xfId="1" applyNumberFormat="1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6" fillId="0" borderId="7" xfId="1" applyNumberFormat="1" applyFont="1" applyBorder="1" applyAlignment="1">
      <alignment horizontal="center"/>
    </xf>
    <xf numFmtId="43" fontId="6" fillId="0" borderId="11" xfId="1" applyNumberFormat="1" applyFont="1" applyBorder="1" applyAlignment="1">
      <alignment horizontal="center"/>
    </xf>
    <xf numFmtId="43" fontId="3" fillId="0" borderId="7" xfId="1" applyNumberFormat="1" applyFont="1" applyBorder="1" applyAlignment="1">
      <alignment horizontal="center"/>
    </xf>
    <xf numFmtId="43" fontId="3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0</xdr:row>
      <xdr:rowOff>0</xdr:rowOff>
    </xdr:from>
    <xdr:to>
      <xdr:col>3</xdr:col>
      <xdr:colOff>1666876</xdr:colOff>
      <xdr:row>7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1FF15D-8D76-1133-FAC1-7DD4FD5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0"/>
          <a:ext cx="990600" cy="1257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31</xdr:row>
      <xdr:rowOff>57150</xdr:rowOff>
    </xdr:from>
    <xdr:to>
      <xdr:col>3</xdr:col>
      <xdr:colOff>704850</xdr:colOff>
      <xdr:row>32</xdr:row>
      <xdr:rowOff>78740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66675</xdr:rowOff>
    </xdr:from>
    <xdr:to>
      <xdr:col>4</xdr:col>
      <xdr:colOff>76200</xdr:colOff>
      <xdr:row>32</xdr:row>
      <xdr:rowOff>88265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31</xdr:row>
      <xdr:rowOff>66675</xdr:rowOff>
    </xdr:from>
    <xdr:to>
      <xdr:col>3</xdr:col>
      <xdr:colOff>762000</xdr:colOff>
      <xdr:row>32</xdr:row>
      <xdr:rowOff>88265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53</xdr:row>
      <xdr:rowOff>60960</xdr:rowOff>
    </xdr:from>
    <xdr:to>
      <xdr:col>0</xdr:col>
      <xdr:colOff>3136900</xdr:colOff>
      <xdr:row>57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60</xdr:row>
      <xdr:rowOff>0</xdr:rowOff>
    </xdr:from>
    <xdr:to>
      <xdr:col>1</xdr:col>
      <xdr:colOff>1211580</xdr:colOff>
      <xdr:row>64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53</xdr:row>
      <xdr:rowOff>30480</xdr:rowOff>
    </xdr:from>
    <xdr:to>
      <xdr:col>3</xdr:col>
      <xdr:colOff>1206500</xdr:colOff>
      <xdr:row>57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2797969</xdr:colOff>
      <xdr:row>13</xdr:row>
      <xdr:rowOff>130968</xdr:rowOff>
    </xdr:from>
    <xdr:to>
      <xdr:col>1</xdr:col>
      <xdr:colOff>359410</xdr:colOff>
      <xdr:row>22</xdr:row>
      <xdr:rowOff>77866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2D0C55-72B6-7063-4AF8-B2529C37A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7969" y="2077640"/>
          <a:ext cx="1645285" cy="15125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991623</xdr:colOff>
      <xdr:row>4</xdr:row>
      <xdr:rowOff>95250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91622" cy="742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9525</xdr:rowOff>
    </xdr:from>
    <xdr:to>
      <xdr:col>0</xdr:col>
      <xdr:colOff>1645285</xdr:colOff>
      <xdr:row>13</xdr:row>
      <xdr:rowOff>36195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CDD406-0876-048B-B35B-22EAE8448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9150"/>
          <a:ext cx="1645285" cy="15125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24</xdr:row>
      <xdr:rowOff>129540</xdr:rowOff>
    </xdr:from>
    <xdr:to>
      <xdr:col>3</xdr:col>
      <xdr:colOff>50800</xdr:colOff>
      <xdr:row>29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24</xdr:row>
      <xdr:rowOff>152400</xdr:rowOff>
    </xdr:from>
    <xdr:to>
      <xdr:col>13</xdr:col>
      <xdr:colOff>88900</xdr:colOff>
      <xdr:row>29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31</xdr:row>
      <xdr:rowOff>69850</xdr:rowOff>
    </xdr:from>
    <xdr:to>
      <xdr:col>10</xdr:col>
      <xdr:colOff>640080</xdr:colOff>
      <xdr:row>35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693420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845819" cy="830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37</xdr:row>
      <xdr:rowOff>25400</xdr:rowOff>
    </xdr:from>
    <xdr:to>
      <xdr:col>0</xdr:col>
      <xdr:colOff>2682240</xdr:colOff>
      <xdr:row>42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762000</xdr:colOff>
      <xdr:row>36</xdr:row>
      <xdr:rowOff>85725</xdr:rowOff>
    </xdr:from>
    <xdr:to>
      <xdr:col>12</xdr:col>
      <xdr:colOff>159385</xdr:colOff>
      <xdr:row>42</xdr:row>
      <xdr:rowOff>207645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07058C-A310-EBB0-9EC3-785D4B47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7143750"/>
          <a:ext cx="1645285" cy="1512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22</xdr:row>
      <xdr:rowOff>15240</xdr:rowOff>
    </xdr:from>
    <xdr:to>
      <xdr:col>3</xdr:col>
      <xdr:colOff>312420</xdr:colOff>
      <xdr:row>26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22</xdr:row>
      <xdr:rowOff>15241</xdr:rowOff>
    </xdr:from>
    <xdr:to>
      <xdr:col>6</xdr:col>
      <xdr:colOff>939800</xdr:colOff>
      <xdr:row>26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28</xdr:row>
      <xdr:rowOff>106680</xdr:rowOff>
    </xdr:from>
    <xdr:to>
      <xdr:col>4</xdr:col>
      <xdr:colOff>1226820</xdr:colOff>
      <xdr:row>33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523875</xdr:colOff>
      <xdr:row>19</xdr:row>
      <xdr:rowOff>47625</xdr:rowOff>
    </xdr:from>
    <xdr:to>
      <xdr:col>6</xdr:col>
      <xdr:colOff>1216660</xdr:colOff>
      <xdr:row>40</xdr:row>
      <xdr:rowOff>131445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3A1DCF-2890-8EC0-D8ED-C85C65FA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4333875"/>
          <a:ext cx="1645285" cy="15125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76200</xdr:colOff>
      <xdr:row>23</xdr:row>
      <xdr:rowOff>19050</xdr:rowOff>
    </xdr:from>
    <xdr:to>
      <xdr:col>1</xdr:col>
      <xdr:colOff>1721485</xdr:colOff>
      <xdr:row>37</xdr:row>
      <xdr:rowOff>179070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4ED08F-F695-376C-CDCE-665B53FF7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4438650"/>
          <a:ext cx="1645285" cy="15125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510540</xdr:colOff>
      <xdr:row>5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1679239</xdr:colOff>
      <xdr:row>0</xdr:row>
      <xdr:rowOff>133349</xdr:rowOff>
    </xdr:from>
    <xdr:to>
      <xdr:col>8</xdr:col>
      <xdr:colOff>1409700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B0A06C-551F-774F-F7AC-B3842390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4464" y="133349"/>
          <a:ext cx="1606886" cy="1333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topLeftCell="A30" workbookViewId="0">
      <selection activeCell="B15" sqref="B15"/>
    </sheetView>
  </sheetViews>
  <sheetFormatPr baseColWidth="10" defaultColWidth="11.5703125" defaultRowHeight="12.75" x14ac:dyDescent="0.2"/>
  <cols>
    <col min="1" max="1" width="45.42578125" style="16" customWidth="1"/>
    <col min="2" max="2" width="17.42578125" style="16" bestFit="1" customWidth="1"/>
    <col min="3" max="3" width="1.5703125" style="16" customWidth="1"/>
    <col min="4" max="4" width="27.28515625" style="16" customWidth="1"/>
    <col min="5" max="5" width="17.5703125" style="16" hidden="1" customWidth="1"/>
    <col min="6" max="243" width="9.28515625" style="16" customWidth="1"/>
    <col min="244" max="16384" width="11.5703125" style="16"/>
  </cols>
  <sheetData>
    <row r="1" spans="1:5" x14ac:dyDescent="0.2">
      <c r="A1" s="15" t="s">
        <v>5</v>
      </c>
      <c r="B1" s="15"/>
      <c r="C1" s="15"/>
      <c r="D1" s="15"/>
    </row>
    <row r="2" spans="1:5" x14ac:dyDescent="0.2">
      <c r="A2" s="15"/>
      <c r="B2" s="15"/>
      <c r="C2" s="15"/>
      <c r="D2" s="15"/>
    </row>
    <row r="3" spans="1:5" x14ac:dyDescent="0.2">
      <c r="A3" s="15"/>
      <c r="B3" s="15"/>
      <c r="C3" s="15"/>
      <c r="D3" s="15"/>
    </row>
    <row r="4" spans="1:5" x14ac:dyDescent="0.2">
      <c r="A4" s="15"/>
      <c r="B4" s="15"/>
      <c r="C4" s="15"/>
      <c r="D4" s="15"/>
    </row>
    <row r="5" spans="1:5" x14ac:dyDescent="0.2">
      <c r="A5" s="15"/>
      <c r="B5" s="15"/>
      <c r="C5" s="15"/>
      <c r="D5" s="15"/>
    </row>
    <row r="6" spans="1:5" x14ac:dyDescent="0.2">
      <c r="A6" s="283" t="s">
        <v>298</v>
      </c>
      <c r="B6" s="283"/>
      <c r="C6" s="283"/>
      <c r="D6" s="283"/>
    </row>
    <row r="7" spans="1:5" x14ac:dyDescent="0.2">
      <c r="A7" s="283" t="s">
        <v>180</v>
      </c>
      <c r="B7" s="283"/>
      <c r="C7" s="283"/>
      <c r="D7" s="283"/>
    </row>
    <row r="8" spans="1:5" x14ac:dyDescent="0.2">
      <c r="A8" s="283" t="s">
        <v>474</v>
      </c>
      <c r="B8" s="283"/>
      <c r="C8" s="283"/>
      <c r="D8" s="283"/>
      <c r="E8" s="15"/>
    </row>
    <row r="9" spans="1:5" x14ac:dyDescent="0.2">
      <c r="A9" s="283" t="s">
        <v>6</v>
      </c>
      <c r="B9" s="283"/>
      <c r="C9" s="283"/>
      <c r="D9" s="283"/>
    </row>
    <row r="10" spans="1:5" ht="13.5" thickBot="1" x14ac:dyDescent="0.25">
      <c r="A10" s="18"/>
      <c r="B10" s="65">
        <v>2025</v>
      </c>
      <c r="C10" s="15"/>
      <c r="D10" s="65">
        <v>2024</v>
      </c>
    </row>
    <row r="11" spans="1:5" x14ac:dyDescent="0.2">
      <c r="A11" s="17" t="s">
        <v>181</v>
      </c>
      <c r="B11" s="18"/>
      <c r="C11" s="18"/>
      <c r="D11" s="18"/>
    </row>
    <row r="12" spans="1:5" x14ac:dyDescent="0.2">
      <c r="A12" s="17" t="s">
        <v>182</v>
      </c>
      <c r="B12" s="18"/>
      <c r="C12" s="18"/>
      <c r="D12" s="18"/>
    </row>
    <row r="13" spans="1:5" x14ac:dyDescent="0.2">
      <c r="A13" s="18" t="s">
        <v>183</v>
      </c>
      <c r="B13" s="56">
        <f>+'NOTAS '!G154</f>
        <v>97167356.340000004</v>
      </c>
      <c r="C13" s="57"/>
      <c r="D13" s="56">
        <f>+'NOTAS '!I154</f>
        <v>144024143.03999999</v>
      </c>
    </row>
    <row r="14" spans="1:5" x14ac:dyDescent="0.2">
      <c r="A14" s="18" t="s">
        <v>184</v>
      </c>
      <c r="B14" s="56">
        <f>+'NOTAS '!G172</f>
        <v>1457252.85</v>
      </c>
      <c r="C14" s="57"/>
      <c r="D14" s="56">
        <f>+'NOTAS '!I172</f>
        <v>2346099.8900000006</v>
      </c>
    </row>
    <row r="15" spans="1:5" x14ac:dyDescent="0.2">
      <c r="A15" s="18" t="s">
        <v>185</v>
      </c>
      <c r="B15" s="56">
        <f>+'NOTAS '!G185</f>
        <v>3159291.28</v>
      </c>
      <c r="C15" s="57"/>
      <c r="D15" s="56">
        <f>+'NOTAS '!I185</f>
        <v>2535354.81</v>
      </c>
    </row>
    <row r="16" spans="1:5" x14ac:dyDescent="0.2">
      <c r="A16" s="18" t="s">
        <v>186</v>
      </c>
      <c r="B16" s="88">
        <f>+'NOTAS '!G198</f>
        <v>5503599.71</v>
      </c>
      <c r="C16" s="21"/>
      <c r="D16" s="88">
        <f>+'NOTAS '!I198</f>
        <v>2185284.48</v>
      </c>
    </row>
    <row r="17" spans="1:5" x14ac:dyDescent="0.2">
      <c r="A17" s="17" t="s">
        <v>187</v>
      </c>
      <c r="B17" s="58">
        <f>SUM(B13:B16)</f>
        <v>107287500.17999999</v>
      </c>
      <c r="C17" s="21"/>
      <c r="D17" s="58">
        <f>SUM(D13:D16)</f>
        <v>151090882.22</v>
      </c>
    </row>
    <row r="18" spans="1:5" x14ac:dyDescent="0.2">
      <c r="A18" s="17"/>
      <c r="B18" s="61"/>
      <c r="C18" s="61"/>
      <c r="D18" s="61"/>
    </row>
    <row r="19" spans="1:5" x14ac:dyDescent="0.2">
      <c r="A19" s="17" t="s">
        <v>188</v>
      </c>
      <c r="B19" s="61"/>
      <c r="C19" s="61"/>
      <c r="D19" s="61"/>
    </row>
    <row r="20" spans="1:5" x14ac:dyDescent="0.2">
      <c r="A20" s="18" t="s">
        <v>189</v>
      </c>
      <c r="B20" s="20">
        <f>+'NOTAS '!G211</f>
        <v>4386242.46</v>
      </c>
      <c r="C20" s="21"/>
      <c r="D20" s="20">
        <f>+'NOTAS '!I211</f>
        <v>6600850.4100000001</v>
      </c>
      <c r="E20" s="23">
        <f>+B20-D20</f>
        <v>-2214607.9500000002</v>
      </c>
    </row>
    <row r="21" spans="1:5" x14ac:dyDescent="0.2">
      <c r="A21" s="18" t="s">
        <v>323</v>
      </c>
      <c r="B21" s="67">
        <f>+'NOTAS '!G252</f>
        <v>27817755.540000007</v>
      </c>
      <c r="C21" s="21"/>
      <c r="D21" s="20">
        <f>+'NOTAS '!G268</f>
        <v>16790338.599999998</v>
      </c>
    </row>
    <row r="22" spans="1:5" x14ac:dyDescent="0.2">
      <c r="A22" s="18" t="s">
        <v>324</v>
      </c>
      <c r="B22" s="89">
        <f>+'NOTAS '!G280</f>
        <v>8</v>
      </c>
      <c r="C22" s="68"/>
      <c r="D22" s="89">
        <f>+'NOTAS '!I280</f>
        <v>25</v>
      </c>
    </row>
    <row r="23" spans="1:5" x14ac:dyDescent="0.2">
      <c r="A23" s="17" t="s">
        <v>190</v>
      </c>
      <c r="B23" s="58">
        <f>SUM(B20:B22)</f>
        <v>32204006.000000007</v>
      </c>
      <c r="C23" s="22"/>
      <c r="D23" s="58">
        <f>SUM(D20:D22)</f>
        <v>23391214.009999998</v>
      </c>
    </row>
    <row r="24" spans="1:5" x14ac:dyDescent="0.2">
      <c r="A24" s="17"/>
      <c r="B24" s="58"/>
      <c r="C24" s="22"/>
      <c r="D24" s="58"/>
    </row>
    <row r="25" spans="1:5" ht="13.5" thickBot="1" x14ac:dyDescent="0.25">
      <c r="A25" s="17" t="s">
        <v>191</v>
      </c>
      <c r="B25" s="90">
        <f>+B17+B23</f>
        <v>139491506.18000001</v>
      </c>
      <c r="C25" s="22"/>
      <c r="D25" s="90">
        <f>+D17+D23</f>
        <v>174482096.22999999</v>
      </c>
      <c r="E25" s="23"/>
    </row>
    <row r="26" spans="1:5" ht="13.5" thickTop="1" x14ac:dyDescent="0.2">
      <c r="A26" s="17"/>
      <c r="B26" s="58"/>
      <c r="C26" s="22"/>
      <c r="D26" s="58"/>
      <c r="E26" s="23"/>
    </row>
    <row r="27" spans="1:5" x14ac:dyDescent="0.2">
      <c r="A27" s="17" t="s">
        <v>192</v>
      </c>
      <c r="B27" s="59"/>
      <c r="C27" s="18"/>
      <c r="D27" s="18"/>
      <c r="E27" s="23"/>
    </row>
    <row r="28" spans="1:5" x14ac:dyDescent="0.2">
      <c r="A28" s="17" t="s">
        <v>193</v>
      </c>
      <c r="B28" s="59"/>
      <c r="C28" s="18"/>
      <c r="D28" s="59"/>
    </row>
    <row r="29" spans="1:5" x14ac:dyDescent="0.2">
      <c r="A29" s="18" t="s">
        <v>325</v>
      </c>
      <c r="B29" s="20">
        <f>+'NOTAS '!G299</f>
        <v>26515340.550000001</v>
      </c>
      <c r="C29" s="21"/>
      <c r="D29" s="20">
        <f>+'NOTAS '!I299</f>
        <v>13286892.970000001</v>
      </c>
    </row>
    <row r="30" spans="1:5" x14ac:dyDescent="0.2">
      <c r="A30" s="18" t="s">
        <v>326</v>
      </c>
      <c r="B30" s="20">
        <f>+'NOTAS '!G372</f>
        <v>2655319.52</v>
      </c>
      <c r="C30" s="25"/>
      <c r="D30" s="20">
        <f>+'NOTAS '!I372</f>
        <v>1859073.1400000001</v>
      </c>
    </row>
    <row r="31" spans="1:5" x14ac:dyDescent="0.2">
      <c r="A31" s="18" t="s">
        <v>327</v>
      </c>
      <c r="B31" s="88">
        <f>+'NOTAS '!G387</f>
        <v>9463107.2200000007</v>
      </c>
      <c r="C31" s="25"/>
      <c r="D31" s="88">
        <f>+'NOTAS '!I387</f>
        <v>7919215.6600000001</v>
      </c>
    </row>
    <row r="32" spans="1:5" x14ac:dyDescent="0.2">
      <c r="A32" s="17" t="s">
        <v>194</v>
      </c>
      <c r="B32" s="26">
        <f>SUM(B29:B31)</f>
        <v>38633767.289999999</v>
      </c>
      <c r="C32" s="24"/>
      <c r="D32" s="26">
        <f>SUM(D29:D31)</f>
        <v>23065181.770000003</v>
      </c>
    </row>
    <row r="33" spans="1:5" x14ac:dyDescent="0.2">
      <c r="A33" s="18"/>
      <c r="B33" s="60"/>
      <c r="C33" s="61"/>
      <c r="D33" s="60"/>
    </row>
    <row r="34" spans="1:5" x14ac:dyDescent="0.2">
      <c r="A34" s="17" t="s">
        <v>195</v>
      </c>
      <c r="B34" s="60"/>
      <c r="C34" s="61"/>
      <c r="D34" s="60"/>
    </row>
    <row r="35" spans="1:5" x14ac:dyDescent="0.2">
      <c r="A35" s="18" t="s">
        <v>368</v>
      </c>
      <c r="B35" s="20">
        <f>+'NOTAS '!G400</f>
        <v>4382077.5199999996</v>
      </c>
      <c r="C35" s="61"/>
      <c r="D35" s="20">
        <f>+'NOTAS '!I400</f>
        <v>6753971.3499999996</v>
      </c>
      <c r="E35" s="23">
        <f>+D35-B35</f>
        <v>2371893.83</v>
      </c>
    </row>
    <row r="36" spans="1:5" x14ac:dyDescent="0.2">
      <c r="A36" s="18" t="s">
        <v>322</v>
      </c>
      <c r="B36" s="88">
        <f>+'NOTAS '!G414</f>
        <v>9098262.5800000001</v>
      </c>
      <c r="C36" s="21"/>
      <c r="D36" s="88">
        <f>+'NOTAS '!I414</f>
        <v>8310874.5999999996</v>
      </c>
    </row>
    <row r="37" spans="1:5" x14ac:dyDescent="0.2">
      <c r="A37" s="17" t="s">
        <v>196</v>
      </c>
      <c r="B37" s="94">
        <f>SUM(B35:B36)</f>
        <v>13480340.1</v>
      </c>
      <c r="C37" s="61"/>
      <c r="D37" s="94">
        <f>SUM(D35:D36)</f>
        <v>15064845.949999999</v>
      </c>
    </row>
    <row r="38" spans="1:5" x14ac:dyDescent="0.2">
      <c r="A38" s="17" t="s">
        <v>197</v>
      </c>
      <c r="B38" s="26">
        <f>+B32+B37</f>
        <v>52114107.390000001</v>
      </c>
      <c r="C38" s="26"/>
      <c r="D38" s="26">
        <f>+D32+D37</f>
        <v>38130027.719999999</v>
      </c>
    </row>
    <row r="39" spans="1:5" x14ac:dyDescent="0.2">
      <c r="A39" s="17"/>
      <c r="B39" s="26"/>
      <c r="C39" s="26"/>
      <c r="D39" s="26"/>
    </row>
    <row r="40" spans="1:5" x14ac:dyDescent="0.2">
      <c r="A40" s="17" t="s">
        <v>321</v>
      </c>
      <c r="B40" s="60"/>
      <c r="C40" s="61"/>
      <c r="D40" s="60"/>
    </row>
    <row r="41" spans="1:5" x14ac:dyDescent="0.2">
      <c r="A41" s="18" t="s">
        <v>57</v>
      </c>
      <c r="B41" s="20">
        <f>+'NOTAS '!G426</f>
        <v>46598840.5</v>
      </c>
      <c r="C41" s="20"/>
      <c r="D41" s="20">
        <f>+'NOTAS '!I426</f>
        <v>46598840.5</v>
      </c>
    </row>
    <row r="42" spans="1:5" x14ac:dyDescent="0.2">
      <c r="A42" s="16" t="s">
        <v>198</v>
      </c>
      <c r="B42" s="67">
        <f>+'NOTAS '!G427</f>
        <v>-48974669.719999999</v>
      </c>
      <c r="C42" s="68"/>
      <c r="D42" s="67">
        <f>+'NOTAS '!I427</f>
        <v>-4704321.13</v>
      </c>
    </row>
    <row r="43" spans="1:5" x14ac:dyDescent="0.2">
      <c r="A43" s="18" t="s">
        <v>59</v>
      </c>
      <c r="B43" s="88">
        <f>+'NOTAS '!G428</f>
        <v>89753228.010000005</v>
      </c>
      <c r="C43" s="21"/>
      <c r="D43" s="88">
        <f>+'NOTAS '!I428</f>
        <v>94457549.140000001</v>
      </c>
    </row>
    <row r="44" spans="1:5" x14ac:dyDescent="0.2">
      <c r="A44" s="17" t="s">
        <v>199</v>
      </c>
      <c r="B44" s="58">
        <f>SUM(B41:B43)</f>
        <v>87377398.790000007</v>
      </c>
      <c r="C44" s="22"/>
      <c r="D44" s="58">
        <f>SUM(D41:D43)</f>
        <v>136352068.50999999</v>
      </c>
    </row>
    <row r="45" spans="1:5" x14ac:dyDescent="0.2">
      <c r="A45" s="18"/>
      <c r="B45" s="58"/>
      <c r="C45" s="22"/>
      <c r="D45" s="58"/>
    </row>
    <row r="46" spans="1:5" ht="13.5" thickBot="1" x14ac:dyDescent="0.25">
      <c r="A46" s="17" t="s">
        <v>200</v>
      </c>
      <c r="B46" s="90">
        <f>+B38+B44</f>
        <v>139491506.18000001</v>
      </c>
      <c r="C46" s="24"/>
      <c r="D46" s="90">
        <f>+D38+D44</f>
        <v>174482096.22999999</v>
      </c>
    </row>
    <row r="47" spans="1:5" ht="13.5" thickTop="1" x14ac:dyDescent="0.2">
      <c r="A47" s="15"/>
      <c r="B47" s="137"/>
      <c r="C47" s="15"/>
      <c r="D47" s="137"/>
    </row>
    <row r="48" spans="1:5" x14ac:dyDescent="0.2">
      <c r="A48" s="283"/>
      <c r="B48" s="283"/>
      <c r="C48" s="283"/>
      <c r="D48" s="283"/>
    </row>
    <row r="49" spans="1:4" x14ac:dyDescent="0.2">
      <c r="A49" s="284"/>
      <c r="B49" s="284"/>
      <c r="C49" s="284"/>
      <c r="D49" s="284"/>
    </row>
    <row r="50" spans="1:4" x14ac:dyDescent="0.2">
      <c r="A50" s="285" t="s">
        <v>328</v>
      </c>
      <c r="B50" s="285"/>
      <c r="C50" s="285"/>
      <c r="D50" s="285"/>
    </row>
    <row r="51" spans="1:4" x14ac:dyDescent="0.2">
      <c r="A51" s="15"/>
      <c r="B51" s="15"/>
      <c r="C51" s="15"/>
      <c r="D51" s="15"/>
    </row>
    <row r="52" spans="1:4" x14ac:dyDescent="0.2">
      <c r="A52" s="283"/>
      <c r="B52" s="283"/>
      <c r="C52" s="283"/>
      <c r="D52" s="283"/>
    </row>
    <row r="53" spans="1:4" x14ac:dyDescent="0.2">
      <c r="A53" s="284"/>
      <c r="B53" s="284"/>
      <c r="C53" s="284"/>
      <c r="D53" s="284"/>
    </row>
    <row r="54" spans="1:4" x14ac:dyDescent="0.2">
      <c r="A54" s="27"/>
      <c r="B54" s="18"/>
      <c r="C54" s="18"/>
      <c r="D54" s="18"/>
    </row>
    <row r="55" spans="1:4" x14ac:dyDescent="0.2">
      <c r="A55" s="28"/>
      <c r="B55" s="29"/>
      <c r="C55" s="28"/>
      <c r="D55" s="29"/>
    </row>
    <row r="56" spans="1:4" x14ac:dyDescent="0.2">
      <c r="A56" s="28"/>
      <c r="B56" s="30"/>
      <c r="C56" s="28"/>
      <c r="D56" s="29"/>
    </row>
    <row r="57" spans="1:4" x14ac:dyDescent="0.2">
      <c r="A57" s="31"/>
      <c r="B57" s="31"/>
      <c r="C57" s="18"/>
      <c r="D57" s="18"/>
    </row>
    <row r="58" spans="1:4" x14ac:dyDescent="0.2">
      <c r="A58" s="31"/>
      <c r="B58" s="18"/>
      <c r="C58" s="18"/>
      <c r="D58" s="18"/>
    </row>
    <row r="59" spans="1:4" x14ac:dyDescent="0.2">
      <c r="A59" s="31"/>
      <c r="B59" s="18"/>
      <c r="C59" s="18"/>
      <c r="D59" s="18"/>
    </row>
    <row r="60" spans="1:4" x14ac:dyDescent="0.2">
      <c r="A60" s="31"/>
      <c r="B60" s="18"/>
      <c r="C60" s="18"/>
      <c r="D60" s="18"/>
    </row>
    <row r="62" spans="1:4" x14ac:dyDescent="0.2">
      <c r="B62" s="32"/>
    </row>
  </sheetData>
  <mergeCells count="9">
    <mergeCell ref="A52:D52"/>
    <mergeCell ref="A53:D53"/>
    <mergeCell ref="A50:D50"/>
    <mergeCell ref="A6:D6"/>
    <mergeCell ref="A7:D7"/>
    <mergeCell ref="A8:D8"/>
    <mergeCell ref="A9:D9"/>
    <mergeCell ref="A48:D48"/>
    <mergeCell ref="A49:D49"/>
  </mergeCells>
  <pageMargins left="1.0629921259842521" right="0.70866141732283472" top="1.1023622047244095" bottom="0.74803149606299213" header="0.51181102362204722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1"/>
  <sheetViews>
    <sheetView view="pageBreakPreview" topLeftCell="A13" zoomScale="160" zoomScaleNormal="100" zoomScaleSheetLayoutView="160" workbookViewId="0">
      <selection activeCell="B35" sqref="B35"/>
    </sheetView>
  </sheetViews>
  <sheetFormatPr baseColWidth="10" defaultColWidth="11.5703125" defaultRowHeight="12.75" x14ac:dyDescent="0.2"/>
  <cols>
    <col min="1" max="1" width="61.28515625" style="16" customWidth="1"/>
    <col min="2" max="2" width="19.28515625" style="16" customWidth="1"/>
    <col min="3" max="3" width="3.28515625" style="16" customWidth="1"/>
    <col min="4" max="4" width="18.28515625" style="16" customWidth="1"/>
    <col min="5" max="5" width="9.28515625" style="16" customWidth="1"/>
    <col min="6" max="6" width="17.5703125" style="16" bestFit="1" customWidth="1"/>
    <col min="7" max="8" width="9.28515625" style="16" customWidth="1"/>
    <col min="9" max="9" width="16.28515625" style="16" customWidth="1"/>
    <col min="10" max="256" width="9.28515625" style="16" customWidth="1"/>
    <col min="257" max="16384" width="11.5703125" style="16"/>
  </cols>
  <sheetData>
    <row r="1" spans="1:5" x14ac:dyDescent="0.2">
      <c r="A1" s="18"/>
      <c r="B1" s="18"/>
      <c r="C1" s="18"/>
      <c r="D1" s="18"/>
      <c r="E1" s="18"/>
    </row>
    <row r="2" spans="1:5" x14ac:dyDescent="0.2">
      <c r="A2" s="18"/>
      <c r="B2" s="18"/>
      <c r="C2" s="18"/>
      <c r="D2" s="18"/>
      <c r="E2" s="18"/>
    </row>
    <row r="3" spans="1:5" x14ac:dyDescent="0.2">
      <c r="A3" s="18"/>
      <c r="B3" s="18"/>
      <c r="C3" s="18"/>
      <c r="D3" s="18"/>
      <c r="E3" s="18"/>
    </row>
    <row r="4" spans="1:5" x14ac:dyDescent="0.2">
      <c r="A4" s="18"/>
      <c r="B4" s="18"/>
      <c r="C4" s="18"/>
      <c r="D4" s="18"/>
      <c r="E4" s="18"/>
    </row>
    <row r="5" spans="1:5" ht="12.75" customHeight="1" x14ac:dyDescent="0.2">
      <c r="A5" s="283" t="str">
        <f>+'BALANCE GENERAL'!A6:D6</f>
        <v xml:space="preserve">CONSEJO NACIONAL DE ZONAS FRANCAS DE EXPORTACION (5150) </v>
      </c>
      <c r="B5" s="283"/>
      <c r="C5" s="283"/>
      <c r="D5" s="283"/>
      <c r="E5" s="283"/>
    </row>
    <row r="6" spans="1:5" ht="12.75" customHeight="1" x14ac:dyDescent="0.2">
      <c r="A6" s="283" t="s">
        <v>96</v>
      </c>
      <c r="B6" s="283"/>
      <c r="C6" s="283"/>
      <c r="D6" s="283"/>
      <c r="E6" s="283"/>
    </row>
    <row r="7" spans="1:5" ht="12.75" customHeight="1" x14ac:dyDescent="0.2">
      <c r="A7" s="283" t="str">
        <f>+'BALANCE GENERAL'!A8:D8</f>
        <v>Al 31 de diciembre del año 2025 y 31 de diciembre del año 2024</v>
      </c>
      <c r="B7" s="283"/>
      <c r="C7" s="283"/>
      <c r="D7" s="283"/>
      <c r="E7" s="283"/>
    </row>
    <row r="8" spans="1:5" ht="12.75" customHeight="1" x14ac:dyDescent="0.2">
      <c r="A8" s="283" t="s">
        <v>6</v>
      </c>
      <c r="B8" s="283"/>
      <c r="C8" s="283"/>
      <c r="D8" s="283"/>
      <c r="E8" s="283"/>
    </row>
    <row r="9" spans="1:5" ht="7.15" customHeight="1" x14ac:dyDescent="0.2">
      <c r="A9" s="15"/>
      <c r="B9" s="15"/>
      <c r="C9" s="15"/>
      <c r="D9" s="15"/>
      <c r="E9" s="15"/>
    </row>
    <row r="10" spans="1:5" x14ac:dyDescent="0.2">
      <c r="A10" s="27"/>
      <c r="B10" s="27"/>
      <c r="C10" s="27"/>
      <c r="D10" s="27"/>
      <c r="E10" s="18"/>
    </row>
    <row r="11" spans="1:5" x14ac:dyDescent="0.2">
      <c r="A11" s="27"/>
      <c r="B11" s="27"/>
      <c r="C11" s="27"/>
      <c r="D11" s="27"/>
      <c r="E11" s="18"/>
    </row>
    <row r="12" spans="1:5" ht="13.5" thickBot="1" x14ac:dyDescent="0.25">
      <c r="A12" s="17" t="s">
        <v>97</v>
      </c>
      <c r="B12" s="65">
        <v>2025</v>
      </c>
      <c r="C12" s="15"/>
      <c r="D12" s="65">
        <v>2024</v>
      </c>
      <c r="E12" s="18"/>
    </row>
    <row r="13" spans="1:5" ht="7.15" customHeight="1" x14ac:dyDescent="0.2">
      <c r="A13" s="18"/>
      <c r="B13" s="15"/>
      <c r="C13" s="15"/>
      <c r="D13" s="15"/>
      <c r="E13" s="18"/>
    </row>
    <row r="14" spans="1:5" x14ac:dyDescent="0.2">
      <c r="A14" s="18" t="s">
        <v>319</v>
      </c>
      <c r="B14" s="33">
        <f>+'NOTAS '!G443</f>
        <v>179135764.53999999</v>
      </c>
      <c r="C14" s="25"/>
      <c r="D14" s="33">
        <f>+'NOTAS '!I443</f>
        <v>167858513.86000001</v>
      </c>
      <c r="E14" s="18"/>
    </row>
    <row r="15" spans="1:5" x14ac:dyDescent="0.2">
      <c r="A15" s="18" t="s">
        <v>320</v>
      </c>
      <c r="B15" s="95">
        <f>+'NOTAS '!G458</f>
        <v>71978628</v>
      </c>
      <c r="C15" s="21"/>
      <c r="D15" s="95">
        <f>+'NOTAS '!I458</f>
        <v>92478631</v>
      </c>
      <c r="E15" s="18"/>
    </row>
    <row r="16" spans="1:5" x14ac:dyDescent="0.2">
      <c r="A16" s="17" t="s">
        <v>98</v>
      </c>
      <c r="B16" s="34">
        <f>SUM(B14:B15)</f>
        <v>251114392.53999999</v>
      </c>
      <c r="C16" s="22"/>
      <c r="D16" s="34">
        <f>SUM(D14:D15)</f>
        <v>260337144.86000001</v>
      </c>
      <c r="E16" s="18"/>
    </row>
    <row r="17" spans="1:9" x14ac:dyDescent="0.2">
      <c r="A17" s="17"/>
      <c r="B17" s="34"/>
      <c r="C17" s="22"/>
      <c r="D17" s="34"/>
      <c r="E17" s="18"/>
    </row>
    <row r="18" spans="1:9" x14ac:dyDescent="0.2">
      <c r="A18" s="17" t="s">
        <v>318</v>
      </c>
      <c r="B18" s="33"/>
      <c r="C18" s="21"/>
      <c r="D18" s="33"/>
      <c r="E18" s="18"/>
      <c r="F18" s="19"/>
    </row>
    <row r="19" spans="1:9" ht="18.75" customHeight="1" x14ac:dyDescent="0.2">
      <c r="A19" s="18" t="s">
        <v>99</v>
      </c>
      <c r="B19" s="33">
        <f>+'NOTAS '!G495</f>
        <v>180330636.40000001</v>
      </c>
      <c r="C19" s="33"/>
      <c r="D19" s="33">
        <f>+'NOTAS '!I495</f>
        <v>166187838.55999997</v>
      </c>
      <c r="E19" s="18"/>
      <c r="F19" s="32"/>
    </row>
    <row r="20" spans="1:9" ht="16.149999999999999" customHeight="1" x14ac:dyDescent="0.2">
      <c r="A20" s="18" t="s">
        <v>178</v>
      </c>
      <c r="B20" s="33">
        <f>+'NOTAS '!G516</f>
        <v>22553201.920000002</v>
      </c>
      <c r="C20" s="33"/>
      <c r="D20" s="33">
        <f>+'NOTAS '!I516</f>
        <v>14930491.449999999</v>
      </c>
      <c r="E20" s="18"/>
      <c r="F20" s="32"/>
    </row>
    <row r="21" spans="1:9" x14ac:dyDescent="0.2">
      <c r="A21" s="18" t="s">
        <v>102</v>
      </c>
      <c r="B21" s="33">
        <f>+'NOTAS '!G534</f>
        <v>19857122.48</v>
      </c>
      <c r="C21" s="33"/>
      <c r="D21" s="33">
        <f>+'NOTAS '!I534</f>
        <v>18018473.140000001</v>
      </c>
      <c r="E21" s="18"/>
      <c r="I21" s="69"/>
    </row>
    <row r="22" spans="1:9" x14ac:dyDescent="0.2">
      <c r="A22" s="18" t="s">
        <v>100</v>
      </c>
      <c r="B22" s="33">
        <f>+'NOTAS '!G545</f>
        <v>6263166.4299999997</v>
      </c>
      <c r="C22" s="33"/>
      <c r="D22" s="33">
        <f>+'NOTAS '!I545</f>
        <v>5875950.1200000001</v>
      </c>
      <c r="E22" s="18"/>
    </row>
    <row r="23" spans="1:9" x14ac:dyDescent="0.2">
      <c r="A23" s="18" t="s">
        <v>384</v>
      </c>
      <c r="B23" s="33">
        <f>+'NOTAS '!G555</f>
        <v>416.6</v>
      </c>
      <c r="C23" s="33"/>
      <c r="D23" s="33">
        <f>+'NOTAS '!I555</f>
        <v>0</v>
      </c>
      <c r="E23" s="18"/>
    </row>
    <row r="24" spans="1:9" x14ac:dyDescent="0.2">
      <c r="A24" s="18" t="s">
        <v>101</v>
      </c>
      <c r="B24" s="33">
        <f>+'NOTAS '!G582</f>
        <v>70720963.010000005</v>
      </c>
      <c r="C24" s="33"/>
      <c r="D24" s="33">
        <f>+'NOTAS '!I582</f>
        <v>59880548.879999988</v>
      </c>
      <c r="E24" s="18"/>
    </row>
    <row r="25" spans="1:9" x14ac:dyDescent="0.2">
      <c r="A25" s="18" t="s">
        <v>103</v>
      </c>
      <c r="B25" s="95">
        <f>+'NOTAS '!G594</f>
        <v>354442.26</v>
      </c>
      <c r="C25" s="33"/>
      <c r="D25" s="95">
        <f>+'NOTAS '!I594</f>
        <v>146746.95000000001</v>
      </c>
      <c r="E25" s="18"/>
    </row>
    <row r="26" spans="1:9" x14ac:dyDescent="0.2">
      <c r="A26" s="17" t="s">
        <v>104</v>
      </c>
      <c r="B26" s="26">
        <f>SUM(B19:B25)</f>
        <v>300079949.09999996</v>
      </c>
      <c r="C26" s="26"/>
      <c r="D26" s="26">
        <f>SUM(D19:D25)</f>
        <v>265040049.09999996</v>
      </c>
      <c r="E26" s="17"/>
      <c r="F26" s="19"/>
    </row>
    <row r="27" spans="1:9" x14ac:dyDescent="0.2">
      <c r="A27" s="18"/>
      <c r="B27" s="25"/>
      <c r="C27" s="18"/>
      <c r="D27" s="25"/>
      <c r="E27" s="18"/>
    </row>
    <row r="28" spans="1:9" x14ac:dyDescent="0.2">
      <c r="A28" s="18" t="s">
        <v>350</v>
      </c>
      <c r="B28" s="25">
        <f>-'NOTAS '!G606</f>
        <v>-9113.16</v>
      </c>
      <c r="C28" s="25"/>
      <c r="D28" s="25">
        <f>-'NOTAS '!I606</f>
        <v>-1416.89</v>
      </c>
      <c r="E28" s="18"/>
    </row>
    <row r="29" spans="1:9" x14ac:dyDescent="0.2">
      <c r="A29" s="18"/>
      <c r="B29" s="18"/>
      <c r="C29" s="18"/>
      <c r="D29" s="18"/>
      <c r="E29" s="18"/>
    </row>
    <row r="30" spans="1:9" x14ac:dyDescent="0.2">
      <c r="A30" s="18" t="s">
        <v>105</v>
      </c>
      <c r="B30" s="21">
        <v>0</v>
      </c>
      <c r="C30" s="21"/>
      <c r="D30" s="21">
        <v>0</v>
      </c>
      <c r="E30" s="18"/>
      <c r="F30" s="32"/>
    </row>
    <row r="31" spans="1:9" x14ac:dyDescent="0.2">
      <c r="A31" s="18"/>
      <c r="B31" s="21"/>
      <c r="C31" s="21"/>
      <c r="D31" s="21"/>
      <c r="E31" s="18"/>
    </row>
    <row r="32" spans="1:9" ht="13.5" thickBot="1" x14ac:dyDescent="0.25">
      <c r="A32" s="17" t="s">
        <v>106</v>
      </c>
      <c r="B32" s="90">
        <f>+B16-B26+B28</f>
        <v>-48974669.719999969</v>
      </c>
      <c r="C32" s="20"/>
      <c r="D32" s="90">
        <f>+D16-D26+D28</f>
        <v>-4704321.1299999496</v>
      </c>
      <c r="E32" s="18"/>
    </row>
    <row r="33" spans="1:5" ht="13.5" thickTop="1" x14ac:dyDescent="0.2">
      <c r="A33" s="18"/>
      <c r="B33" s="21"/>
      <c r="C33" s="21"/>
      <c r="D33" s="21"/>
      <c r="E33" s="18"/>
    </row>
    <row r="34" spans="1:5" ht="16.5" customHeight="1" x14ac:dyDescent="0.2">
      <c r="B34" s="82"/>
      <c r="C34" s="82"/>
      <c r="D34" s="82"/>
    </row>
    <row r="35" spans="1:5" ht="19.5" customHeight="1" x14ac:dyDescent="0.2">
      <c r="B35" s="82"/>
      <c r="C35" s="82"/>
      <c r="D35" s="82"/>
    </row>
    <row r="36" spans="1:5" x14ac:dyDescent="0.2">
      <c r="A36" s="15"/>
      <c r="B36" s="137"/>
      <c r="C36" s="15"/>
      <c r="D36" s="137"/>
    </row>
    <row r="37" spans="1:5" x14ac:dyDescent="0.2">
      <c r="A37" s="285" t="s">
        <v>328</v>
      </c>
      <c r="B37" s="285"/>
      <c r="C37" s="285"/>
      <c r="D37" s="285"/>
    </row>
    <row r="38" spans="1:5" x14ac:dyDescent="0.2">
      <c r="A38" s="284"/>
      <c r="B38" s="284"/>
      <c r="C38" s="284"/>
      <c r="D38" s="284"/>
    </row>
    <row r="39" spans="1:5" x14ac:dyDescent="0.2">
      <c r="A39" s="18"/>
      <c r="B39" s="18"/>
      <c r="C39" s="18"/>
      <c r="D39" s="18"/>
    </row>
    <row r="40" spans="1:5" x14ac:dyDescent="0.2">
      <c r="A40" s="15"/>
      <c r="B40" s="15"/>
      <c r="C40" s="15"/>
      <c r="D40" s="15"/>
    </row>
    <row r="41" spans="1:5" x14ac:dyDescent="0.2">
      <c r="A41" s="283"/>
      <c r="B41" s="283"/>
      <c r="C41" s="283"/>
      <c r="D41" s="283"/>
    </row>
    <row r="42" spans="1:5" x14ac:dyDescent="0.2">
      <c r="A42" s="284"/>
      <c r="B42" s="284"/>
      <c r="C42" s="284"/>
      <c r="D42" s="284"/>
    </row>
    <row r="43" spans="1:5" x14ac:dyDescent="0.2">
      <c r="A43" s="27"/>
      <c r="B43" s="18"/>
      <c r="C43" s="18"/>
      <c r="D43" s="18"/>
    </row>
    <row r="44" spans="1:5" x14ac:dyDescent="0.2">
      <c r="A44" s="28"/>
      <c r="B44" s="29"/>
      <c r="C44" s="28"/>
      <c r="D44" s="29"/>
    </row>
    <row r="45" spans="1:5" x14ac:dyDescent="0.2">
      <c r="A45" s="28"/>
      <c r="B45" s="30"/>
      <c r="C45" s="28"/>
      <c r="D45" s="29"/>
    </row>
    <row r="46" spans="1:5" x14ac:dyDescent="0.2">
      <c r="A46" s="31"/>
      <c r="B46" s="31"/>
      <c r="C46" s="18"/>
      <c r="D46" s="18"/>
    </row>
    <row r="47" spans="1:5" x14ac:dyDescent="0.2">
      <c r="A47" s="31"/>
      <c r="B47" s="18"/>
      <c r="C47" s="18"/>
      <c r="D47" s="18"/>
    </row>
    <row r="48" spans="1:5" x14ac:dyDescent="0.2">
      <c r="A48" s="31"/>
      <c r="B48" s="18"/>
      <c r="C48" s="18"/>
      <c r="D48" s="18"/>
    </row>
    <row r="49" spans="1:5" x14ac:dyDescent="0.2">
      <c r="A49" s="31"/>
      <c r="B49" s="18"/>
      <c r="C49" s="18"/>
      <c r="D49" s="18"/>
    </row>
    <row r="51" spans="1:5" x14ac:dyDescent="0.2">
      <c r="A51" s="40"/>
      <c r="B51" s="84"/>
      <c r="C51" s="84"/>
      <c r="D51" s="84"/>
    </row>
    <row r="52" spans="1:5" x14ac:dyDescent="0.2">
      <c r="A52" s="17"/>
      <c r="B52" s="22"/>
      <c r="C52" s="22"/>
      <c r="D52" s="22"/>
      <c r="E52" s="18"/>
    </row>
    <row r="53" spans="1:5" hidden="1" x14ac:dyDescent="0.2">
      <c r="A53" s="18"/>
      <c r="B53" s="22"/>
      <c r="C53" s="22"/>
      <c r="D53" s="22"/>
      <c r="E53" s="18"/>
    </row>
    <row r="54" spans="1:5" hidden="1" x14ac:dyDescent="0.2">
      <c r="A54" s="18"/>
      <c r="B54" s="21"/>
      <c r="C54" s="21"/>
      <c r="D54" s="21"/>
      <c r="E54" s="18"/>
    </row>
    <row r="55" spans="1:5" hidden="1" x14ac:dyDescent="0.2">
      <c r="A55" s="17"/>
      <c r="B55" s="22"/>
      <c r="C55" s="22"/>
      <c r="D55" s="22"/>
      <c r="E55" s="18"/>
    </row>
    <row r="56" spans="1:5" hidden="1" x14ac:dyDescent="0.2">
      <c r="A56" s="18"/>
      <c r="B56" s="18"/>
      <c r="C56" s="18"/>
      <c r="D56" s="18"/>
      <c r="E56" s="18"/>
    </row>
    <row r="57" spans="1:5" hidden="1" x14ac:dyDescent="0.2">
      <c r="A57" s="18"/>
      <c r="B57" s="18"/>
      <c r="C57" s="18"/>
      <c r="D57" s="18"/>
      <c r="E57" s="18"/>
    </row>
    <row r="58" spans="1:5" hidden="1" x14ac:dyDescent="0.2">
      <c r="A58" s="15"/>
      <c r="B58" s="15"/>
      <c r="C58" s="15"/>
      <c r="D58" s="15"/>
      <c r="E58" s="18"/>
    </row>
    <row r="59" spans="1:5" hidden="1" x14ac:dyDescent="0.2">
      <c r="A59" s="283"/>
      <c r="B59" s="283"/>
      <c r="C59" s="283"/>
      <c r="D59" s="283"/>
      <c r="E59" s="18"/>
    </row>
    <row r="60" spans="1:5" hidden="1" x14ac:dyDescent="0.2">
      <c r="A60" s="284"/>
      <c r="B60" s="284"/>
      <c r="C60" s="284"/>
      <c r="D60" s="284"/>
      <c r="E60" s="18"/>
    </row>
    <row r="61" spans="1:5" hidden="1" x14ac:dyDescent="0.2">
      <c r="A61" s="18"/>
      <c r="B61" s="18"/>
      <c r="C61" s="18"/>
      <c r="D61" s="18"/>
      <c r="E61" s="18"/>
    </row>
    <row r="62" spans="1:5" hidden="1" x14ac:dyDescent="0.2">
      <c r="A62" s="15"/>
      <c r="B62" s="15"/>
      <c r="C62" s="15"/>
      <c r="D62" s="15"/>
      <c r="E62" s="18"/>
    </row>
    <row r="63" spans="1:5" hidden="1" x14ac:dyDescent="0.2">
      <c r="A63" s="283"/>
      <c r="B63" s="283"/>
      <c r="C63" s="283"/>
      <c r="D63" s="283"/>
      <c r="E63" s="18"/>
    </row>
    <row r="64" spans="1:5" hidden="1" x14ac:dyDescent="0.2">
      <c r="A64" s="284"/>
      <c r="B64" s="284"/>
      <c r="C64" s="284"/>
      <c r="D64" s="284"/>
      <c r="E64" s="18"/>
    </row>
    <row r="65" spans="1:5" hidden="1" x14ac:dyDescent="0.2">
      <c r="A65" s="27"/>
      <c r="B65" s="18"/>
      <c r="C65" s="18"/>
      <c r="D65" s="18"/>
      <c r="E65" s="18"/>
    </row>
    <row r="66" spans="1:5" hidden="1" x14ac:dyDescent="0.2">
      <c r="A66" s="28"/>
      <c r="B66" s="29"/>
      <c r="C66" s="28"/>
      <c r="D66" s="29"/>
      <c r="E66" s="18"/>
    </row>
    <row r="67" spans="1:5" x14ac:dyDescent="0.2">
      <c r="A67" s="28"/>
      <c r="B67" s="30"/>
      <c r="C67" s="28"/>
      <c r="D67" s="29"/>
      <c r="E67" s="18"/>
    </row>
    <row r="68" spans="1:5" x14ac:dyDescent="0.2">
      <c r="A68" s="31"/>
      <c r="B68" s="31"/>
      <c r="C68" s="18"/>
      <c r="D68" s="18"/>
      <c r="E68" s="18"/>
    </row>
    <row r="69" spans="1:5" x14ac:dyDescent="0.2">
      <c r="A69" s="31"/>
      <c r="B69" s="18"/>
      <c r="C69" s="18"/>
      <c r="D69" s="18"/>
      <c r="E69" s="18"/>
    </row>
    <row r="70" spans="1:5" x14ac:dyDescent="0.2">
      <c r="E70" s="18"/>
    </row>
    <row r="71" spans="1:5" x14ac:dyDescent="0.2">
      <c r="A71" s="285"/>
      <c r="B71" s="285"/>
      <c r="C71" s="285"/>
      <c r="D71" s="285"/>
      <c r="E71" s="18"/>
    </row>
  </sheetData>
  <mergeCells count="13">
    <mergeCell ref="A5:E5"/>
    <mergeCell ref="A6:E6"/>
    <mergeCell ref="A7:E7"/>
    <mergeCell ref="A8:E8"/>
    <mergeCell ref="A71:D71"/>
    <mergeCell ref="A60:D60"/>
    <mergeCell ref="A59:D59"/>
    <mergeCell ref="A63:D63"/>
    <mergeCell ref="A64:D64"/>
    <mergeCell ref="A37:D37"/>
    <mergeCell ref="A38:D38"/>
    <mergeCell ref="A41:D41"/>
    <mergeCell ref="A42:D42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7" zoomScaleNormal="100" zoomScaleSheetLayoutView="100" workbookViewId="0">
      <selection activeCell="F31" sqref="F31"/>
    </sheetView>
  </sheetViews>
  <sheetFormatPr baseColWidth="10" defaultColWidth="11.42578125" defaultRowHeight="12.75" x14ac:dyDescent="0.2"/>
  <cols>
    <col min="1" max="1" width="55.28515625" style="16" customWidth="1"/>
    <col min="2" max="2" width="23.28515625" style="16" bestFit="1" customWidth="1"/>
    <col min="3" max="3" width="8.28515625" style="16" customWidth="1"/>
    <col min="4" max="4" width="23.28515625" style="38" customWidth="1"/>
    <col min="5" max="5" width="19.28515625" style="38" customWidth="1"/>
    <col min="6" max="6" width="17.7109375" style="16" customWidth="1"/>
    <col min="7" max="7" width="9.28515625" style="16" customWidth="1"/>
    <col min="8" max="8" width="16.42578125" style="16" customWidth="1"/>
    <col min="9" max="10" width="9.28515625" style="16" customWidth="1"/>
    <col min="11" max="11" width="13.7109375" style="16" customWidth="1"/>
    <col min="12" max="248" width="9.28515625" style="16" customWidth="1"/>
    <col min="249" max="16384" width="11.42578125" style="16"/>
  </cols>
  <sheetData>
    <row r="1" spans="1:9" x14ac:dyDescent="0.2">
      <c r="A1" s="18"/>
      <c r="B1" s="18"/>
      <c r="C1" s="18"/>
      <c r="D1" s="35"/>
      <c r="E1" s="82"/>
    </row>
    <row r="2" spans="1:9" x14ac:dyDescent="0.2">
      <c r="A2" s="18"/>
      <c r="B2" s="18"/>
      <c r="C2" s="18"/>
      <c r="D2" s="35"/>
      <c r="E2" s="82"/>
    </row>
    <row r="3" spans="1:9" x14ac:dyDescent="0.2">
      <c r="A3" s="18"/>
      <c r="B3" s="18"/>
      <c r="C3" s="18"/>
      <c r="D3" s="35"/>
      <c r="E3" s="82"/>
    </row>
    <row r="4" spans="1:9" x14ac:dyDescent="0.2">
      <c r="A4" s="283"/>
      <c r="B4" s="283"/>
      <c r="C4" s="283"/>
      <c r="D4" s="283"/>
    </row>
    <row r="5" spans="1:9" x14ac:dyDescent="0.2">
      <c r="A5" s="17"/>
      <c r="B5" s="17"/>
      <c r="C5" s="17"/>
      <c r="D5" s="17"/>
    </row>
    <row r="6" spans="1:9" x14ac:dyDescent="0.2">
      <c r="A6" s="17"/>
      <c r="B6" s="17"/>
      <c r="C6" s="17"/>
      <c r="D6" s="16"/>
      <c r="E6" s="16"/>
      <c r="G6" s="83"/>
      <c r="H6" s="53"/>
      <c r="I6" s="52"/>
    </row>
    <row r="7" spans="1:9" ht="27.6" customHeight="1" x14ac:dyDescent="0.2">
      <c r="A7" s="287" t="str">
        <f>+'ESTADO DE RESULTADOS'!A5:E5</f>
        <v xml:space="preserve">CONSEJO NACIONAL DE ZONAS FRANCAS DE EXPORTACION (5150) </v>
      </c>
      <c r="B7" s="287"/>
      <c r="C7" s="287"/>
      <c r="D7" s="287"/>
      <c r="E7" s="16"/>
      <c r="G7" s="83"/>
      <c r="H7" s="53"/>
      <c r="I7" s="52"/>
    </row>
    <row r="8" spans="1:9" x14ac:dyDescent="0.2">
      <c r="A8" s="288" t="s">
        <v>299</v>
      </c>
      <c r="B8" s="288"/>
      <c r="C8" s="288"/>
      <c r="D8" s="288"/>
      <c r="E8" s="53"/>
      <c r="F8" s="52"/>
    </row>
    <row r="9" spans="1:9" x14ac:dyDescent="0.2">
      <c r="A9" s="288" t="str">
        <f>+'ESTADO DE RESULTADOS'!A7:E7</f>
        <v>Al 31 de diciembre del año 2025 y 31 de diciembre del año 2024</v>
      </c>
      <c r="B9" s="288"/>
      <c r="C9" s="288"/>
      <c r="D9" s="288"/>
      <c r="E9" s="53"/>
      <c r="F9" s="52"/>
    </row>
    <row r="10" spans="1:9" x14ac:dyDescent="0.2">
      <c r="A10" s="281" t="s">
        <v>116</v>
      </c>
      <c r="B10" s="281"/>
      <c r="C10" s="281"/>
      <c r="D10" s="281"/>
      <c r="E10" s="16"/>
      <c r="F10" s="52"/>
      <c r="G10" s="53"/>
    </row>
    <row r="11" spans="1:9" x14ac:dyDescent="0.2">
      <c r="A11" s="18"/>
      <c r="B11" s="18"/>
      <c r="C11" s="18"/>
      <c r="D11" s="35"/>
    </row>
    <row r="12" spans="1:9" ht="13.5" thickBot="1" x14ac:dyDescent="0.25">
      <c r="A12" s="54"/>
      <c r="B12" s="65">
        <v>2025</v>
      </c>
      <c r="C12" s="15"/>
      <c r="D12" s="65">
        <v>2024</v>
      </c>
    </row>
    <row r="13" spans="1:9" x14ac:dyDescent="0.2">
      <c r="A13" s="54"/>
      <c r="B13" s="55"/>
      <c r="C13" s="15"/>
      <c r="D13" s="55"/>
    </row>
    <row r="14" spans="1:9" x14ac:dyDescent="0.2">
      <c r="A14" s="36" t="s">
        <v>300</v>
      </c>
      <c r="B14" s="37"/>
      <c r="C14" s="37"/>
      <c r="D14" s="37"/>
    </row>
    <row r="15" spans="1:9" x14ac:dyDescent="0.2">
      <c r="A15" s="47" t="s">
        <v>336</v>
      </c>
      <c r="B15" s="77">
        <f>+'NOTAS '!G443</f>
        <v>179135764.53999999</v>
      </c>
      <c r="C15" s="39"/>
      <c r="D15" s="39">
        <f>+'NOTAS '!I443</f>
        <v>167858513.86000001</v>
      </c>
      <c r="F15" s="69"/>
    </row>
    <row r="16" spans="1:9" x14ac:dyDescent="0.2">
      <c r="A16" s="47" t="s">
        <v>107</v>
      </c>
      <c r="B16" s="77">
        <f>+'NOTAS '!G458</f>
        <v>71978628</v>
      </c>
      <c r="C16" s="39"/>
      <c r="D16" s="39">
        <f>+'NOTAS '!I458</f>
        <v>92478631</v>
      </c>
      <c r="F16" s="69"/>
    </row>
    <row r="17" spans="1:4" x14ac:dyDescent="0.2">
      <c r="A17" s="47" t="s">
        <v>108</v>
      </c>
      <c r="B17" s="77">
        <f>-'NOTAS '!G495+14786628</f>
        <v>-165544008.40000001</v>
      </c>
      <c r="C17" s="39"/>
      <c r="D17" s="42">
        <v>-152173615.5</v>
      </c>
    </row>
    <row r="18" spans="1:4" x14ac:dyDescent="0.2">
      <c r="A18" s="47" t="s">
        <v>109</v>
      </c>
      <c r="B18" s="78">
        <f>-'NOTAS '!G474-'NOTAS '!G475-'NOTAS '!G476</f>
        <v>-14786627.689999999</v>
      </c>
      <c r="C18" s="39"/>
      <c r="D18" s="42">
        <v>-14014222.5</v>
      </c>
    </row>
    <row r="19" spans="1:4" x14ac:dyDescent="0.2">
      <c r="A19" s="47" t="s">
        <v>110</v>
      </c>
      <c r="B19" s="77">
        <f>-'NOTAS '!G516-'NOTAS '!G534-'NOTAS '!G582+13293456</f>
        <v>-99837831.410000011</v>
      </c>
      <c r="C19" s="39"/>
      <c r="D19" s="39">
        <v>-96109203</v>
      </c>
    </row>
    <row r="20" spans="1:4" x14ac:dyDescent="0.2">
      <c r="A20" s="47" t="s">
        <v>111</v>
      </c>
      <c r="B20" s="92">
        <f>-'NOTAS '!G594</f>
        <v>-354442.26</v>
      </c>
      <c r="C20" s="39"/>
      <c r="D20" s="92">
        <v>-146747</v>
      </c>
    </row>
    <row r="21" spans="1:4" x14ac:dyDescent="0.2">
      <c r="A21" s="47"/>
      <c r="B21" s="43"/>
      <c r="C21" s="39"/>
      <c r="D21" s="43"/>
    </row>
    <row r="22" spans="1:4" x14ac:dyDescent="0.2">
      <c r="A22" s="36" t="s">
        <v>163</v>
      </c>
      <c r="B22" s="41">
        <f>SUM(B15:B20)</f>
        <v>-29408517.220000025</v>
      </c>
      <c r="C22" s="44"/>
      <c r="D22" s="41">
        <f>SUM(D15:D20)</f>
        <v>-2106643.1399999857</v>
      </c>
    </row>
    <row r="23" spans="1:4" x14ac:dyDescent="0.2">
      <c r="A23" s="36"/>
      <c r="B23" s="45"/>
      <c r="C23" s="46"/>
      <c r="D23" s="45"/>
    </row>
    <row r="24" spans="1:4" x14ac:dyDescent="0.2">
      <c r="A24" s="36" t="s">
        <v>162</v>
      </c>
      <c r="B24" s="44"/>
      <c r="C24" s="44"/>
      <c r="D24" s="44"/>
    </row>
    <row r="25" spans="1:4" x14ac:dyDescent="0.2">
      <c r="A25" s="47" t="s">
        <v>159</v>
      </c>
      <c r="B25" s="66">
        <v>-17290983.969999999</v>
      </c>
      <c r="C25" s="48"/>
      <c r="D25" s="66">
        <v>-1122514</v>
      </c>
    </row>
    <row r="26" spans="1:4" x14ac:dyDescent="0.2">
      <c r="A26" s="47" t="s">
        <v>160</v>
      </c>
      <c r="B26" s="91">
        <v>0</v>
      </c>
      <c r="C26" s="50"/>
      <c r="D26" s="91"/>
    </row>
    <row r="27" spans="1:4" x14ac:dyDescent="0.2">
      <c r="A27" s="36" t="s">
        <v>161</v>
      </c>
      <c r="B27" s="41">
        <f>SUM(B25:B26)</f>
        <v>-17290983.969999999</v>
      </c>
      <c r="C27" s="44"/>
      <c r="D27" s="41">
        <f>SUM(D25:D26)</f>
        <v>-1122514</v>
      </c>
    </row>
    <row r="28" spans="1:4" x14ac:dyDescent="0.2">
      <c r="A28" s="36"/>
      <c r="B28" s="44"/>
      <c r="C28" s="44"/>
      <c r="D28" s="44"/>
    </row>
    <row r="29" spans="1:4" x14ac:dyDescent="0.2">
      <c r="A29" s="36" t="s">
        <v>164</v>
      </c>
      <c r="B29" s="44"/>
      <c r="C29" s="44"/>
      <c r="D29" s="44"/>
    </row>
    <row r="30" spans="1:4" x14ac:dyDescent="0.2">
      <c r="A30" s="47" t="s">
        <v>370</v>
      </c>
      <c r="B30" s="39">
        <f>-'BALANCE GENERAL'!E20</f>
        <v>2214607.9500000002</v>
      </c>
      <c r="C30" s="49"/>
      <c r="D30" s="39">
        <v>1058952</v>
      </c>
    </row>
    <row r="31" spans="1:4" x14ac:dyDescent="0.2">
      <c r="A31" s="47" t="s">
        <v>371</v>
      </c>
      <c r="B31" s="39"/>
      <c r="C31" s="49"/>
      <c r="D31" s="39">
        <v>0</v>
      </c>
    </row>
    <row r="32" spans="1:4" ht="25.5" x14ac:dyDescent="0.2">
      <c r="A32" s="135" t="s">
        <v>372</v>
      </c>
      <c r="B32" s="39">
        <f>-'BALANCE GENERAL'!E35</f>
        <v>-2371893.83</v>
      </c>
      <c r="C32" s="49"/>
      <c r="D32" s="39">
        <v>-899949</v>
      </c>
    </row>
    <row r="33" spans="1:22" x14ac:dyDescent="0.2">
      <c r="A33" s="47" t="s">
        <v>160</v>
      </c>
      <c r="B33" s="91">
        <v>0</v>
      </c>
      <c r="C33" s="49"/>
      <c r="D33" s="91"/>
    </row>
    <row r="34" spans="1:22" x14ac:dyDescent="0.2">
      <c r="A34" s="79" t="s">
        <v>112</v>
      </c>
      <c r="B34" s="80">
        <f>SUM(B30:B32)</f>
        <v>-157285.87999999989</v>
      </c>
      <c r="C34" s="81"/>
      <c r="D34" s="80">
        <f>SUM(D30:D33)</f>
        <v>159003</v>
      </c>
    </row>
    <row r="35" spans="1:22" x14ac:dyDescent="0.2">
      <c r="A35" s="36"/>
      <c r="B35" s="44"/>
      <c r="C35" s="44"/>
      <c r="D35" s="44"/>
    </row>
    <row r="36" spans="1:22" x14ac:dyDescent="0.2">
      <c r="A36" s="47" t="s">
        <v>113</v>
      </c>
      <c r="B36" s="39">
        <f>+B22+B27+B34</f>
        <v>-46856787.07000003</v>
      </c>
      <c r="C36" s="49"/>
      <c r="D36" s="39">
        <f>+D22+D27+D34</f>
        <v>-3070154.1399999857</v>
      </c>
    </row>
    <row r="37" spans="1:22" x14ac:dyDescent="0.2">
      <c r="A37" s="47" t="s">
        <v>114</v>
      </c>
      <c r="B37" s="91">
        <f>+D38</f>
        <v>144024142.86000001</v>
      </c>
      <c r="C37" s="50"/>
      <c r="D37" s="91">
        <v>147094297</v>
      </c>
    </row>
    <row r="38" spans="1:22" s="36" customFormat="1" ht="13.5" thickBot="1" x14ac:dyDescent="0.25">
      <c r="A38" s="36" t="s">
        <v>165</v>
      </c>
      <c r="B38" s="93">
        <f>SUM(B36:B37)</f>
        <v>97167355.789999992</v>
      </c>
      <c r="D38" s="93">
        <f>SUM(D36:D37)</f>
        <v>144024142.86000001</v>
      </c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</row>
    <row r="39" spans="1:22" s="36" customFormat="1" ht="13.5" thickTop="1" x14ac:dyDescent="0.2">
      <c r="B39" s="138"/>
      <c r="D39" s="138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</row>
    <row r="40" spans="1:22" x14ac:dyDescent="0.2">
      <c r="A40" s="51"/>
      <c r="B40" s="62"/>
      <c r="C40" s="18"/>
      <c r="D40" s="62"/>
    </row>
    <row r="41" spans="1:22" s="52" customFormat="1" hidden="1" x14ac:dyDescent="0.2">
      <c r="B41" s="63"/>
      <c r="D41" s="53"/>
      <c r="E41" s="38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2" hidden="1" x14ac:dyDescent="0.2">
      <c r="B42" s="32"/>
    </row>
    <row r="43" spans="1:22" hidden="1" x14ac:dyDescent="0.2">
      <c r="B43" s="32"/>
    </row>
    <row r="44" spans="1:22" hidden="1" x14ac:dyDescent="0.2">
      <c r="B44" s="44"/>
    </row>
    <row r="45" spans="1:22" hidden="1" x14ac:dyDescent="0.2">
      <c r="B45" s="32"/>
    </row>
    <row r="46" spans="1:22" hidden="1" x14ac:dyDescent="0.2">
      <c r="B46" s="32"/>
    </row>
    <row r="47" spans="1:22" hidden="1" x14ac:dyDescent="0.2">
      <c r="F47" s="32"/>
    </row>
    <row r="48" spans="1:22" hidden="1" x14ac:dyDescent="0.2"/>
    <row r="49" spans="1:8" hidden="1" x14ac:dyDescent="0.2"/>
    <row r="50" spans="1:8" hidden="1" x14ac:dyDescent="0.2"/>
    <row r="51" spans="1:8" s="38" customFormat="1" hidden="1" x14ac:dyDescent="0.2">
      <c r="A51" s="16"/>
      <c r="B51" s="16"/>
      <c r="C51" s="16"/>
      <c r="F51" s="16"/>
      <c r="G51" s="16"/>
      <c r="H51" s="16"/>
    </row>
    <row r="52" spans="1:8" s="38" customFormat="1" hidden="1" x14ac:dyDescent="0.2">
      <c r="A52" s="16"/>
      <c r="B52" s="16"/>
      <c r="C52" s="16"/>
      <c r="F52" s="16"/>
      <c r="G52" s="16"/>
      <c r="H52" s="16"/>
    </row>
    <row r="53" spans="1:8" s="38" customFormat="1" hidden="1" x14ac:dyDescent="0.2">
      <c r="A53" s="16"/>
      <c r="B53" s="16"/>
      <c r="C53" s="16"/>
      <c r="F53" s="16"/>
      <c r="G53" s="16"/>
      <c r="H53" s="16"/>
    </row>
    <row r="54" spans="1:8" s="38" customFormat="1" hidden="1" x14ac:dyDescent="0.2">
      <c r="A54" s="286"/>
      <c r="B54" s="286"/>
      <c r="C54" s="286"/>
      <c r="D54" s="286"/>
      <c r="F54" s="16"/>
      <c r="G54" s="16"/>
      <c r="H54" s="16"/>
    </row>
    <row r="55" spans="1:8" x14ac:dyDescent="0.2">
      <c r="A55" s="283"/>
      <c r="B55" s="283"/>
      <c r="C55" s="283"/>
      <c r="D55" s="283"/>
      <c r="E55" s="16"/>
    </row>
    <row r="56" spans="1:8" x14ac:dyDescent="0.2">
      <c r="A56" s="284"/>
      <c r="B56" s="284"/>
      <c r="C56" s="284"/>
      <c r="D56" s="284"/>
      <c r="E56" s="16"/>
    </row>
    <row r="57" spans="1:8" x14ac:dyDescent="0.2">
      <c r="A57" s="285" t="s">
        <v>328</v>
      </c>
      <c r="B57" s="285"/>
      <c r="C57" s="285"/>
      <c r="D57" s="285"/>
      <c r="E57" s="16"/>
    </row>
    <row r="58" spans="1:8" x14ac:dyDescent="0.2">
      <c r="A58" s="15"/>
      <c r="B58" s="15"/>
      <c r="C58" s="15"/>
      <c r="D58" s="15"/>
      <c r="E58" s="16"/>
    </row>
    <row r="59" spans="1:8" x14ac:dyDescent="0.2">
      <c r="A59" s="283"/>
      <c r="B59" s="283"/>
      <c r="C59" s="283"/>
      <c r="D59" s="283"/>
      <c r="E59" s="16"/>
    </row>
    <row r="60" spans="1:8" x14ac:dyDescent="0.2">
      <c r="A60" s="284"/>
      <c r="B60" s="284"/>
      <c r="C60" s="284"/>
      <c r="D60" s="284"/>
      <c r="E60" s="16"/>
    </row>
    <row r="61" spans="1:8" x14ac:dyDescent="0.2">
      <c r="A61" s="27"/>
      <c r="B61" s="27"/>
      <c r="C61" s="27"/>
      <c r="D61" s="27"/>
      <c r="E61" s="16"/>
    </row>
    <row r="62" spans="1:8" x14ac:dyDescent="0.2">
      <c r="A62" s="27"/>
      <c r="B62" s="18"/>
      <c r="C62" s="18"/>
      <c r="D62" s="18"/>
      <c r="E62" s="16"/>
    </row>
    <row r="63" spans="1:8" x14ac:dyDescent="0.2">
      <c r="A63" s="28"/>
      <c r="B63" s="29"/>
      <c r="C63" s="28"/>
      <c r="D63" s="29"/>
      <c r="E63" s="16"/>
    </row>
    <row r="64" spans="1:8" x14ac:dyDescent="0.2">
      <c r="A64" s="28"/>
      <c r="B64" s="30"/>
      <c r="C64" s="28"/>
      <c r="D64" s="29"/>
      <c r="E64" s="16"/>
    </row>
    <row r="65" spans="1:8" x14ac:dyDescent="0.2">
      <c r="A65" s="31"/>
      <c r="B65" s="31"/>
      <c r="C65" s="18"/>
      <c r="D65" s="18"/>
      <c r="E65" s="16"/>
    </row>
    <row r="66" spans="1:8" x14ac:dyDescent="0.2">
      <c r="A66" s="31"/>
      <c r="B66" s="18"/>
      <c r="C66" s="18"/>
      <c r="D66" s="18"/>
      <c r="E66" s="16"/>
    </row>
    <row r="67" spans="1:8" x14ac:dyDescent="0.2">
      <c r="A67" s="31"/>
      <c r="B67" s="18"/>
      <c r="C67" s="18"/>
      <c r="D67" s="18"/>
      <c r="E67" s="16"/>
    </row>
    <row r="68" spans="1:8" x14ac:dyDescent="0.2">
      <c r="A68" s="31"/>
      <c r="B68" s="18"/>
      <c r="C68" s="18"/>
      <c r="D68" s="18"/>
      <c r="E68" s="16"/>
    </row>
    <row r="69" spans="1:8" s="38" customFormat="1" x14ac:dyDescent="0.2">
      <c r="A69" s="16"/>
      <c r="B69" s="16"/>
      <c r="C69" s="16"/>
      <c r="F69" s="16"/>
      <c r="G69" s="16"/>
      <c r="H69" s="16"/>
    </row>
    <row r="70" spans="1:8" s="38" customFormat="1" x14ac:dyDescent="0.2">
      <c r="F70" s="16"/>
      <c r="G70" s="16"/>
      <c r="H70" s="16"/>
    </row>
    <row r="71" spans="1:8" s="38" customFormat="1" x14ac:dyDescent="0.2">
      <c r="A71" s="16"/>
      <c r="B71" s="16"/>
      <c r="C71" s="16"/>
      <c r="F71" s="16"/>
      <c r="G71" s="16"/>
      <c r="H71" s="16"/>
    </row>
    <row r="72" spans="1:8" s="38" customFormat="1" x14ac:dyDescent="0.2">
      <c r="A72" s="16"/>
      <c r="B72" s="16"/>
      <c r="C72" s="16"/>
      <c r="F72" s="16"/>
      <c r="G72" s="16"/>
      <c r="H72" s="16"/>
    </row>
    <row r="73" spans="1:8" s="38" customFormat="1" x14ac:dyDescent="0.2">
      <c r="A73" s="16"/>
      <c r="B73" s="16"/>
      <c r="C73" s="16"/>
      <c r="F73" s="16"/>
      <c r="G73" s="16"/>
      <c r="H73" s="16"/>
    </row>
    <row r="74" spans="1:8" s="38" customFormat="1" x14ac:dyDescent="0.2">
      <c r="A74" s="16"/>
      <c r="B74" s="16"/>
      <c r="C74" s="16"/>
      <c r="F74" s="16"/>
      <c r="G74" s="16"/>
      <c r="H74" s="16"/>
    </row>
    <row r="75" spans="1:8" s="38" customFormat="1" x14ac:dyDescent="0.2">
      <c r="A75" s="16"/>
      <c r="B75" s="16"/>
      <c r="C75" s="16"/>
      <c r="F75" s="16"/>
      <c r="G75" s="16"/>
      <c r="H75" s="16"/>
    </row>
    <row r="76" spans="1:8" s="38" customFormat="1" x14ac:dyDescent="0.2">
      <c r="A76" s="16"/>
      <c r="B76" s="16"/>
      <c r="C76" s="16"/>
      <c r="F76" s="16"/>
      <c r="G76" s="16"/>
      <c r="H76" s="16"/>
    </row>
    <row r="77" spans="1:8" s="38" customFormat="1" x14ac:dyDescent="0.2">
      <c r="A77" s="16"/>
      <c r="B77" s="16"/>
      <c r="C77" s="16"/>
      <c r="F77" s="16"/>
      <c r="G77" s="16"/>
      <c r="H77" s="16"/>
    </row>
    <row r="78" spans="1:8" s="38" customFormat="1" x14ac:dyDescent="0.2">
      <c r="A78" s="16"/>
      <c r="B78" s="16"/>
      <c r="C78" s="16"/>
      <c r="F78" s="16"/>
      <c r="G78" s="16"/>
      <c r="H78" s="16"/>
    </row>
    <row r="79" spans="1:8" s="38" customFormat="1" x14ac:dyDescent="0.2">
      <c r="A79" s="16"/>
      <c r="B79" s="16"/>
      <c r="C79" s="16"/>
      <c r="F79" s="16"/>
      <c r="G79" s="16"/>
      <c r="H79" s="16"/>
    </row>
    <row r="80" spans="1:8" s="38" customFormat="1" x14ac:dyDescent="0.2">
      <c r="A80" s="16"/>
      <c r="B80" s="16"/>
      <c r="C80" s="16"/>
      <c r="F80" s="16"/>
      <c r="G80" s="16"/>
      <c r="H80" s="16"/>
    </row>
    <row r="81" spans="1:8" s="38" customFormat="1" x14ac:dyDescent="0.2">
      <c r="A81" s="16"/>
      <c r="B81" s="16"/>
      <c r="C81" s="16"/>
      <c r="F81" s="16"/>
      <c r="G81" s="16"/>
      <c r="H81" s="16"/>
    </row>
    <row r="82" spans="1:8" s="38" customFormat="1" x14ac:dyDescent="0.2">
      <c r="A82" s="16"/>
      <c r="B82" s="16"/>
      <c r="C82" s="16"/>
      <c r="F82" s="16"/>
      <c r="G82" s="16"/>
      <c r="H82" s="16"/>
    </row>
    <row r="83" spans="1:8" s="38" customFormat="1" x14ac:dyDescent="0.2">
      <c r="A83" s="16"/>
      <c r="B83" s="16"/>
      <c r="C83" s="16"/>
      <c r="F83" s="16"/>
      <c r="G83" s="16"/>
      <c r="H83" s="16"/>
    </row>
    <row r="84" spans="1:8" s="38" customFormat="1" x14ac:dyDescent="0.2">
      <c r="A84" s="16"/>
      <c r="B84" s="16"/>
      <c r="C84" s="16"/>
      <c r="F84" s="16"/>
      <c r="G84" s="16"/>
      <c r="H84" s="16"/>
    </row>
    <row r="85" spans="1:8" s="38" customFormat="1" x14ac:dyDescent="0.2">
      <c r="A85" s="16"/>
      <c r="B85" s="16"/>
      <c r="C85" s="16"/>
      <c r="F85" s="16"/>
      <c r="G85" s="16"/>
      <c r="H85" s="16"/>
    </row>
    <row r="86" spans="1:8" s="38" customFormat="1" x14ac:dyDescent="0.2">
      <c r="A86" s="16"/>
      <c r="B86" s="16"/>
      <c r="C86" s="16"/>
      <c r="F86" s="16"/>
      <c r="G86" s="16"/>
      <c r="H86" s="16"/>
    </row>
    <row r="87" spans="1:8" s="38" customFormat="1" x14ac:dyDescent="0.2">
      <c r="A87" s="16"/>
      <c r="B87" s="16"/>
      <c r="C87" s="16"/>
      <c r="F87" s="16"/>
      <c r="G87" s="16"/>
      <c r="H87" s="16"/>
    </row>
    <row r="88" spans="1:8" s="38" customFormat="1" x14ac:dyDescent="0.2">
      <c r="A88" s="16"/>
      <c r="B88" s="16"/>
      <c r="C88" s="16"/>
      <c r="F88" s="16"/>
      <c r="G88" s="16"/>
      <c r="H88" s="16"/>
    </row>
    <row r="89" spans="1:8" s="38" customFormat="1" x14ac:dyDescent="0.2">
      <c r="A89" s="16"/>
      <c r="B89" s="16"/>
      <c r="C89" s="16"/>
      <c r="F89" s="16"/>
      <c r="G89" s="16"/>
      <c r="H89" s="16"/>
    </row>
  </sheetData>
  <mergeCells count="11">
    <mergeCell ref="A59:D59"/>
    <mergeCell ref="A60:D60"/>
    <mergeCell ref="A4:D4"/>
    <mergeCell ref="A10:D10"/>
    <mergeCell ref="A57:D57"/>
    <mergeCell ref="A54:D54"/>
    <mergeCell ref="A7:D7"/>
    <mergeCell ref="A8:D8"/>
    <mergeCell ref="A9:D9"/>
    <mergeCell ref="A55:D55"/>
    <mergeCell ref="A56:D56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2"/>
  <sheetViews>
    <sheetView topLeftCell="B7" zoomScaleNormal="100" workbookViewId="0">
      <selection activeCell="C24" sqref="C24"/>
    </sheetView>
  </sheetViews>
  <sheetFormatPr baseColWidth="10" defaultColWidth="11.42578125" defaultRowHeight="18.75" x14ac:dyDescent="0.3"/>
  <cols>
    <col min="1" max="1" width="11.42578125" style="99" hidden="1" customWidth="1"/>
    <col min="2" max="2" width="2.7109375" style="98" customWidth="1"/>
    <col min="3" max="3" width="49.42578125" style="98" customWidth="1"/>
    <col min="4" max="4" width="3.42578125" style="98" customWidth="1"/>
    <col min="5" max="5" width="19.42578125" style="101" bestFit="1" customWidth="1"/>
    <col min="6" max="6" width="8.140625" style="101" customWidth="1"/>
    <col min="7" max="7" width="14.140625" style="101" hidden="1" customWidth="1"/>
    <col min="8" max="8" width="1.7109375" style="101" hidden="1" customWidth="1"/>
    <col min="9" max="9" width="13.7109375" style="101" hidden="1" customWidth="1"/>
    <col min="10" max="10" width="1.28515625" style="101" customWidth="1"/>
    <col min="11" max="11" width="23.28515625" style="98" customWidth="1"/>
    <col min="12" max="12" width="10.42578125" style="98" customWidth="1"/>
    <col min="13" max="13" width="21.140625" style="98" bestFit="1" customWidth="1"/>
    <col min="14" max="14" width="3.7109375" style="98" customWidth="1"/>
    <col min="15" max="15" width="17.42578125" style="98" customWidth="1"/>
    <col min="16" max="16" width="13.140625" style="99" bestFit="1" customWidth="1"/>
    <col min="17" max="16384" width="11.42578125" style="99"/>
  </cols>
  <sheetData>
    <row r="5" spans="2:16" ht="15" customHeight="1" x14ac:dyDescent="0.2">
      <c r="B5" s="289" t="s">
        <v>301</v>
      </c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6" spans="2:16" x14ac:dyDescent="0.2">
      <c r="B6" s="289" t="s">
        <v>115</v>
      </c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</row>
    <row r="7" spans="2:16" x14ac:dyDescent="0.2">
      <c r="B7" s="289" t="s">
        <v>475</v>
      </c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</row>
    <row r="8" spans="2:16" x14ac:dyDescent="0.2">
      <c r="B8" s="289" t="s">
        <v>116</v>
      </c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</row>
    <row r="9" spans="2:16" ht="90" x14ac:dyDescent="0.25">
      <c r="E9" s="102" t="s">
        <v>117</v>
      </c>
      <c r="F9" s="103"/>
      <c r="G9" s="102" t="s">
        <v>118</v>
      </c>
      <c r="H9" s="104"/>
      <c r="I9" s="102" t="s">
        <v>119</v>
      </c>
      <c r="J9" s="103"/>
      <c r="K9" s="102" t="s">
        <v>120</v>
      </c>
      <c r="L9" s="103"/>
      <c r="M9" s="102" t="s">
        <v>121</v>
      </c>
      <c r="N9" s="105"/>
      <c r="O9" s="105"/>
      <c r="P9" s="106"/>
    </row>
    <row r="10" spans="2:16" x14ac:dyDescent="0.25">
      <c r="C10" s="107" t="s">
        <v>417</v>
      </c>
      <c r="D10" s="105"/>
      <c r="E10" s="108">
        <v>46598841</v>
      </c>
      <c r="F10" s="109"/>
      <c r="G10" s="108">
        <v>0</v>
      </c>
      <c r="H10" s="110"/>
      <c r="I10" s="108">
        <v>0</v>
      </c>
      <c r="J10" s="109"/>
      <c r="K10" s="110">
        <f>+'BALANCE GENERAL'!D43</f>
        <v>94457549.140000001</v>
      </c>
      <c r="L10" s="110"/>
      <c r="M10" s="110">
        <f>SUM(E10:K10)</f>
        <v>141056390.13999999</v>
      </c>
      <c r="N10" s="110"/>
      <c r="O10" s="111"/>
      <c r="P10" s="112"/>
    </row>
    <row r="11" spans="2:16" s="114" customFormat="1" x14ac:dyDescent="0.3">
      <c r="B11" s="101"/>
      <c r="C11" s="105" t="s">
        <v>122</v>
      </c>
      <c r="D11" s="105"/>
      <c r="E11" s="108">
        <v>0</v>
      </c>
      <c r="F11" s="109"/>
      <c r="G11" s="108">
        <v>0</v>
      </c>
      <c r="H11" s="110"/>
      <c r="I11" s="108"/>
      <c r="J11" s="109"/>
      <c r="K11" s="108"/>
      <c r="L11" s="110"/>
      <c r="M11" s="108">
        <f>SUM(E11,G11,I11,K11)</f>
        <v>0</v>
      </c>
      <c r="N11" s="113"/>
      <c r="O11" s="101"/>
    </row>
    <row r="12" spans="2:16" s="114" customFormat="1" x14ac:dyDescent="0.3">
      <c r="B12" s="101"/>
      <c r="C12" s="105" t="s">
        <v>123</v>
      </c>
      <c r="D12" s="105"/>
      <c r="E12" s="108">
        <v>0</v>
      </c>
      <c r="F12" s="109"/>
      <c r="G12" s="108"/>
      <c r="H12" s="110"/>
      <c r="I12" s="108">
        <v>0</v>
      </c>
      <c r="J12" s="109"/>
      <c r="K12" s="108"/>
      <c r="L12" s="110"/>
      <c r="M12" s="108">
        <f>SUM(E12,G12,I12,K12)</f>
        <v>0</v>
      </c>
      <c r="N12" s="113"/>
      <c r="O12" s="101"/>
    </row>
    <row r="13" spans="2:16" x14ac:dyDescent="0.25">
      <c r="C13" s="105" t="s">
        <v>124</v>
      </c>
      <c r="D13" s="105"/>
      <c r="E13" s="108">
        <v>0</v>
      </c>
      <c r="F13" s="109"/>
      <c r="G13" s="108"/>
      <c r="H13" s="110"/>
      <c r="I13" s="108"/>
      <c r="J13" s="109"/>
      <c r="K13" s="110"/>
      <c r="L13" s="110"/>
      <c r="M13" s="110">
        <f>SUM(E13,G13,I13,K13)</f>
        <v>0</v>
      </c>
      <c r="N13" s="105"/>
      <c r="O13" s="115"/>
    </row>
    <row r="14" spans="2:16" x14ac:dyDescent="0.25">
      <c r="C14" s="105" t="s">
        <v>125</v>
      </c>
      <c r="D14" s="105"/>
      <c r="E14" s="116">
        <v>0</v>
      </c>
      <c r="F14" s="109"/>
      <c r="G14" s="108"/>
      <c r="H14" s="110"/>
      <c r="I14" s="108"/>
      <c r="J14" s="109"/>
      <c r="K14" s="117">
        <f>+'BALANCE GENERAL'!D42</f>
        <v>-4704321.13</v>
      </c>
      <c r="L14" s="110"/>
      <c r="M14" s="117">
        <f>SUM(E14,G14,I14,K14)</f>
        <v>-4704321.13</v>
      </c>
      <c r="N14" s="105"/>
      <c r="O14" s="115"/>
    </row>
    <row r="15" spans="2:16" ht="19.5" thickBot="1" x14ac:dyDescent="0.3">
      <c r="C15" s="107" t="s">
        <v>476</v>
      </c>
      <c r="D15" s="105"/>
      <c r="E15" s="132">
        <f>SUM(E10:E14)</f>
        <v>46598841</v>
      </c>
      <c r="F15" s="119"/>
      <c r="G15" s="118">
        <f>SUM(G10:G14)</f>
        <v>0</v>
      </c>
      <c r="H15" s="120"/>
      <c r="I15" s="118">
        <f>SUM(I10:I14)</f>
        <v>0</v>
      </c>
      <c r="J15" s="119"/>
      <c r="K15" s="126">
        <f>SUM(K10:K14)</f>
        <v>89753228.010000005</v>
      </c>
      <c r="L15" s="120"/>
      <c r="M15" s="124">
        <f>SUM(M10:M14)</f>
        <v>136352069.00999999</v>
      </c>
      <c r="N15" s="105"/>
      <c r="O15" s="131"/>
    </row>
    <row r="16" spans="2:16" ht="19.5" thickTop="1" x14ac:dyDescent="0.25">
      <c r="C16" s="105" t="s">
        <v>5</v>
      </c>
      <c r="D16" s="105"/>
      <c r="E16" s="108"/>
      <c r="F16" s="108"/>
      <c r="G16" s="108"/>
      <c r="H16" s="110"/>
      <c r="I16" s="108"/>
      <c r="J16" s="108"/>
      <c r="K16" s="110"/>
      <c r="L16" s="110"/>
      <c r="M16" s="110"/>
      <c r="N16" s="105"/>
    </row>
    <row r="17" spans="2:15" x14ac:dyDescent="0.25">
      <c r="C17" s="105"/>
      <c r="D17" s="105"/>
      <c r="E17" s="108"/>
      <c r="F17" s="108"/>
      <c r="G17" s="108"/>
      <c r="H17" s="110"/>
      <c r="I17" s="108"/>
      <c r="J17" s="108"/>
      <c r="K17" s="110"/>
      <c r="L17" s="110"/>
      <c r="M17" s="110"/>
      <c r="N17" s="105"/>
    </row>
    <row r="18" spans="2:15" s="114" customFormat="1" x14ac:dyDescent="0.3">
      <c r="B18" s="101"/>
      <c r="C18" s="121" t="s">
        <v>122</v>
      </c>
      <c r="D18" s="105"/>
      <c r="E18" s="108">
        <v>46598841</v>
      </c>
      <c r="F18" s="109"/>
      <c r="G18" s="108">
        <v>0</v>
      </c>
      <c r="H18" s="110"/>
      <c r="I18" s="108"/>
      <c r="J18" s="109"/>
      <c r="K18" s="108">
        <f>+'NOTAS '!G428</f>
        <v>89753228.010000005</v>
      </c>
      <c r="L18" s="110"/>
      <c r="M18" s="108">
        <f>SUM(E18,G18,I18,K18)</f>
        <v>136352069.00999999</v>
      </c>
      <c r="N18" s="113"/>
      <c r="O18" s="101"/>
    </row>
    <row r="19" spans="2:15" s="114" customFormat="1" ht="36" x14ac:dyDescent="0.3">
      <c r="B19" s="101"/>
      <c r="C19" s="121" t="s">
        <v>123</v>
      </c>
      <c r="D19" s="105"/>
      <c r="E19" s="108">
        <v>0</v>
      </c>
      <c r="F19" s="109"/>
      <c r="G19" s="108"/>
      <c r="H19" s="110"/>
      <c r="I19" s="108">
        <v>0</v>
      </c>
      <c r="J19" s="109"/>
      <c r="K19" s="108"/>
      <c r="L19" s="110"/>
      <c r="M19" s="108">
        <f>SUM(E19,G19,I19,K19)</f>
        <v>0</v>
      </c>
      <c r="N19" s="113"/>
      <c r="O19" s="101"/>
    </row>
    <row r="20" spans="2:15" s="114" customFormat="1" ht="36.75" x14ac:dyDescent="0.3">
      <c r="B20" s="101"/>
      <c r="C20" s="122" t="s">
        <v>126</v>
      </c>
      <c r="D20" s="105"/>
      <c r="E20" s="108">
        <v>0</v>
      </c>
      <c r="F20" s="109"/>
      <c r="G20" s="108"/>
      <c r="H20" s="110"/>
      <c r="I20" s="108">
        <v>0</v>
      </c>
      <c r="J20" s="109"/>
      <c r="K20" s="108">
        <v>0</v>
      </c>
      <c r="L20" s="110"/>
      <c r="M20" s="108">
        <f>SUM(E20,G20,I20,K20)</f>
        <v>0</v>
      </c>
      <c r="N20" s="113"/>
      <c r="O20" s="101"/>
    </row>
    <row r="21" spans="2:15" x14ac:dyDescent="0.25">
      <c r="C21" s="121" t="s">
        <v>124</v>
      </c>
      <c r="D21" s="105"/>
      <c r="E21" s="108">
        <v>0</v>
      </c>
      <c r="F21" s="109"/>
      <c r="G21" s="108"/>
      <c r="H21" s="110"/>
      <c r="I21" s="108"/>
      <c r="J21" s="109"/>
      <c r="K21" s="110">
        <v>0</v>
      </c>
      <c r="L21" s="110"/>
      <c r="M21" s="110">
        <f>SUM(E21,G21,I21,K21)</f>
        <v>0</v>
      </c>
      <c r="N21" s="105"/>
    </row>
    <row r="22" spans="2:15" x14ac:dyDescent="0.25">
      <c r="C22" s="121" t="s">
        <v>125</v>
      </c>
      <c r="D22" s="105"/>
      <c r="E22" s="116">
        <v>0</v>
      </c>
      <c r="F22" s="109"/>
      <c r="G22" s="108"/>
      <c r="H22" s="110"/>
      <c r="I22" s="108"/>
      <c r="J22" s="109"/>
      <c r="K22" s="123">
        <f>+'NOTAS '!G427</f>
        <v>-48974669.719999999</v>
      </c>
      <c r="L22" s="110"/>
      <c r="M22" s="123">
        <f>SUM(E22,G22,I22,K22)</f>
        <v>-48974669.719999999</v>
      </c>
      <c r="N22" s="105"/>
    </row>
    <row r="23" spans="2:15" ht="19.5" thickBot="1" x14ac:dyDescent="0.3">
      <c r="B23" s="100"/>
      <c r="C23" s="107" t="s">
        <v>477</v>
      </c>
      <c r="D23" s="105"/>
      <c r="E23" s="124">
        <f>SUM(E18:E22)</f>
        <v>46598841</v>
      </c>
      <c r="F23" s="125"/>
      <c r="G23" s="120">
        <f>SUM(G22,G15)</f>
        <v>0</v>
      </c>
      <c r="H23" s="108"/>
      <c r="I23" s="120">
        <f>SUM(I22,I15)</f>
        <v>0</v>
      </c>
      <c r="J23" s="125"/>
      <c r="K23" s="126">
        <f>SUM(K18:K22)</f>
        <v>40778558.290000007</v>
      </c>
      <c r="L23" s="110"/>
      <c r="M23" s="127">
        <f>SUM(M18:M22)</f>
        <v>87377399.289999992</v>
      </c>
      <c r="N23" s="105"/>
      <c r="O23" s="111"/>
    </row>
    <row r="24" spans="2:15" ht="19.5" thickTop="1" x14ac:dyDescent="0.3">
      <c r="B24" s="100"/>
      <c r="E24" s="128"/>
      <c r="F24" s="128"/>
      <c r="G24" s="128"/>
      <c r="H24" s="128"/>
      <c r="I24" s="128"/>
      <c r="J24" s="128"/>
      <c r="K24" s="115"/>
      <c r="L24" s="115"/>
      <c r="M24" s="115"/>
    </row>
    <row r="25" spans="2:15" s="129" customFormat="1" ht="18" hidden="1" x14ac:dyDescent="0.25">
      <c r="E25" s="130"/>
    </row>
    <row r="26" spans="2:15" s="129" customFormat="1" ht="18" hidden="1" x14ac:dyDescent="0.25">
      <c r="E26" s="130"/>
    </row>
    <row r="27" spans="2:15" s="129" customFormat="1" ht="18" hidden="1" x14ac:dyDescent="0.25"/>
    <row r="28" spans="2:15" s="129" customFormat="1" ht="18" hidden="1" x14ac:dyDescent="0.25"/>
    <row r="29" spans="2:15" s="129" customFormat="1" ht="18" hidden="1" x14ac:dyDescent="0.25"/>
    <row r="30" spans="2:15" s="129" customFormat="1" ht="18" hidden="1" x14ac:dyDescent="0.25"/>
    <row r="31" spans="2:15" s="129" customFormat="1" ht="18" hidden="1" x14ac:dyDescent="0.25"/>
    <row r="32" spans="2:15" s="129" customFormat="1" ht="18" hidden="1" x14ac:dyDescent="0.25"/>
    <row r="33" spans="2:13" s="129" customFormat="1" ht="18" hidden="1" x14ac:dyDescent="0.25"/>
    <row r="34" spans="2:13" s="129" customFormat="1" ht="18" hidden="1" x14ac:dyDescent="0.25"/>
    <row r="35" spans="2:13" s="129" customFormat="1" ht="18" hidden="1" x14ac:dyDescent="0.25"/>
    <row r="36" spans="2:13" hidden="1" x14ac:dyDescent="0.3">
      <c r="B36" s="100"/>
      <c r="E36" s="128"/>
      <c r="F36" s="128"/>
      <c r="G36" s="128"/>
      <c r="H36" s="128"/>
      <c r="I36" s="128"/>
      <c r="J36" s="128"/>
      <c r="K36" s="115"/>
      <c r="L36" s="115"/>
      <c r="M36" s="115"/>
    </row>
    <row r="37" spans="2:13" s="10" customFormat="1" x14ac:dyDescent="0.3">
      <c r="C37" s="139"/>
      <c r="D37" s="139"/>
      <c r="E37" s="139"/>
      <c r="F37" s="139"/>
      <c r="G37" s="139"/>
      <c r="H37" s="139"/>
      <c r="I37" s="139"/>
      <c r="J37" s="139"/>
      <c r="K37" s="139"/>
      <c r="L37" s="139"/>
      <c r="M37" s="139"/>
    </row>
    <row r="38" spans="2:13" s="129" customFormat="1" x14ac:dyDescent="0.3">
      <c r="C38" s="136" t="s">
        <v>328</v>
      </c>
      <c r="D38" s="98"/>
      <c r="E38" s="101"/>
      <c r="F38" s="101"/>
      <c r="G38" s="101"/>
      <c r="H38" s="101"/>
      <c r="I38" s="101"/>
      <c r="J38" s="101"/>
      <c r="K38" s="98"/>
    </row>
    <row r="39" spans="2:13" s="129" customFormat="1" ht="18" x14ac:dyDescent="0.25">
      <c r="D39" s="130"/>
    </row>
    <row r="40" spans="2:13" s="129" customFormat="1" ht="18" x14ac:dyDescent="0.25"/>
    <row r="41" spans="2:13" s="129" customFormat="1" ht="18" x14ac:dyDescent="0.25"/>
    <row r="42" spans="2:13" s="129" customFormat="1" ht="18" x14ac:dyDescent="0.25"/>
    <row r="43" spans="2:13" s="129" customFormat="1" ht="18" x14ac:dyDescent="0.25"/>
    <row r="44" spans="2:13" s="129" customFormat="1" ht="18" x14ac:dyDescent="0.25"/>
    <row r="45" spans="2:13" s="129" customFormat="1" ht="18" x14ac:dyDescent="0.25"/>
    <row r="46" spans="2:13" s="129" customFormat="1" ht="18" x14ac:dyDescent="0.25"/>
    <row r="47" spans="2:13" s="129" customFormat="1" ht="18" x14ac:dyDescent="0.25"/>
    <row r="48" spans="2:13" s="129" customFormat="1" ht="18" x14ac:dyDescent="0.25"/>
    <row r="49" spans="3:15" x14ac:dyDescent="0.3">
      <c r="D49" s="128"/>
      <c r="E49" s="128"/>
      <c r="F49" s="128"/>
      <c r="G49" s="128"/>
      <c r="H49" s="128"/>
      <c r="I49" s="128"/>
      <c r="J49" s="115"/>
      <c r="K49" s="115"/>
      <c r="L49" s="115"/>
      <c r="O49" s="99"/>
    </row>
    <row r="50" spans="3:15" s="10" customFormat="1" x14ac:dyDescent="0.3"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</row>
    <row r="51" spans="3:15" s="10" customFormat="1" x14ac:dyDescent="0.3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5" x14ac:dyDescent="0.3">
      <c r="C52" s="136"/>
    </row>
  </sheetData>
  <mergeCells count="4">
    <mergeCell ref="B8:M8"/>
    <mergeCell ref="B5:M5"/>
    <mergeCell ref="B6:M6"/>
    <mergeCell ref="B7:M7"/>
  </mergeCells>
  <phoneticPr fontId="4" type="noConversion"/>
  <pageMargins left="1.1023622047244095" right="0.74803149606299213" top="0.39370078740157483" bottom="0.23622047244094491" header="0.23622047244094491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workbookViewId="0">
      <selection activeCell="E18" sqref="E18"/>
    </sheetView>
  </sheetViews>
  <sheetFormatPr baseColWidth="10" defaultColWidth="11.5703125" defaultRowHeight="15.75" x14ac:dyDescent="0.3"/>
  <cols>
    <col min="1" max="1" width="3.140625" style="140" customWidth="1"/>
    <col min="2" max="2" width="6.140625" style="140" customWidth="1"/>
    <col min="3" max="3" width="32" style="140" customWidth="1"/>
    <col min="4" max="4" width="22" style="140" customWidth="1"/>
    <col min="5" max="5" width="23.42578125" style="140" customWidth="1"/>
    <col min="6" max="6" width="14.28515625" style="140" customWidth="1"/>
    <col min="7" max="7" width="21.28515625" style="140" customWidth="1"/>
    <col min="8" max="8" width="11.5703125" style="140" hidden="1" customWidth="1"/>
    <col min="9" max="9" width="15.28515625" style="140" bestFit="1" customWidth="1"/>
    <col min="10" max="16384" width="11.5703125" style="140"/>
  </cols>
  <sheetData>
    <row r="1" spans="1:9" x14ac:dyDescent="0.3">
      <c r="A1" s="290" t="s">
        <v>301</v>
      </c>
      <c r="B1" s="290"/>
      <c r="C1" s="290"/>
      <c r="D1" s="290"/>
      <c r="E1" s="290"/>
      <c r="F1" s="290"/>
      <c r="G1" s="290"/>
    </row>
    <row r="2" spans="1:9" x14ac:dyDescent="0.3">
      <c r="A2" s="292" t="s">
        <v>127</v>
      </c>
      <c r="B2" s="292"/>
      <c r="C2" s="292"/>
      <c r="D2" s="292"/>
      <c r="E2" s="292"/>
      <c r="F2" s="292"/>
      <c r="G2" s="292"/>
      <c r="H2" s="141"/>
      <c r="I2" s="141"/>
    </row>
    <row r="3" spans="1:9" x14ac:dyDescent="0.3">
      <c r="A3" s="292" t="s">
        <v>478</v>
      </c>
      <c r="B3" s="292"/>
      <c r="C3" s="292"/>
      <c r="D3" s="292"/>
      <c r="E3" s="292"/>
      <c r="F3" s="292"/>
      <c r="G3" s="292"/>
      <c r="H3" s="141"/>
      <c r="I3" s="141"/>
    </row>
    <row r="4" spans="1:9" x14ac:dyDescent="0.3">
      <c r="A4" s="292" t="s">
        <v>128</v>
      </c>
      <c r="B4" s="292"/>
      <c r="C4" s="292"/>
      <c r="D4" s="292"/>
      <c r="E4" s="292"/>
      <c r="F4" s="292"/>
      <c r="G4" s="292"/>
      <c r="H4" s="141"/>
      <c r="I4" s="141"/>
    </row>
    <row r="5" spans="1:9" x14ac:dyDescent="0.3">
      <c r="A5" s="293" t="s">
        <v>129</v>
      </c>
      <c r="B5" s="293"/>
      <c r="C5" s="293"/>
      <c r="D5" s="293"/>
      <c r="E5" s="293"/>
      <c r="F5" s="293"/>
      <c r="G5" s="293"/>
      <c r="H5" s="142"/>
      <c r="I5" s="142"/>
    </row>
    <row r="6" spans="1:9" x14ac:dyDescent="0.3">
      <c r="B6" s="293"/>
      <c r="C6" s="293"/>
      <c r="D6" s="293"/>
      <c r="E6" s="293"/>
      <c r="F6" s="293"/>
      <c r="G6" s="293"/>
      <c r="H6" s="142"/>
      <c r="I6" s="142"/>
    </row>
    <row r="7" spans="1:9" ht="47.25" x14ac:dyDescent="0.3">
      <c r="B7" s="291" t="s">
        <v>130</v>
      </c>
      <c r="C7" s="291"/>
      <c r="D7" s="144" t="s">
        <v>131</v>
      </c>
      <c r="E7" s="144" t="s">
        <v>132</v>
      </c>
      <c r="F7" s="144" t="s">
        <v>133</v>
      </c>
      <c r="G7" s="144" t="s">
        <v>134</v>
      </c>
    </row>
    <row r="8" spans="1:9" x14ac:dyDescent="0.3">
      <c r="B8" s="145">
        <v>1</v>
      </c>
      <c r="C8" s="146" t="s">
        <v>135</v>
      </c>
      <c r="D8" s="147">
        <f>SUM(D9:D11)</f>
        <v>433943562.77999997</v>
      </c>
      <c r="E8" s="147">
        <f>SUM(E9:E11)</f>
        <v>293008877.80000001</v>
      </c>
      <c r="F8" s="148">
        <f t="shared" ref="F8:F18" si="0">+E8/D8</f>
        <v>0.67522346897573216</v>
      </c>
      <c r="G8" s="147">
        <f>+D8-E8</f>
        <v>140934684.97999996</v>
      </c>
    </row>
    <row r="9" spans="1:9" x14ac:dyDescent="0.3">
      <c r="B9" s="149">
        <v>1.3</v>
      </c>
      <c r="C9" s="150" t="s">
        <v>136</v>
      </c>
      <c r="D9" s="151">
        <v>0</v>
      </c>
      <c r="E9" s="151">
        <v>0</v>
      </c>
      <c r="F9" s="148">
        <v>0</v>
      </c>
      <c r="G9" s="151">
        <f>+D9-E9</f>
        <v>0</v>
      </c>
    </row>
    <row r="10" spans="1:9" x14ac:dyDescent="0.3">
      <c r="B10" s="149">
        <v>1.4</v>
      </c>
      <c r="C10" s="150" t="s">
        <v>137</v>
      </c>
      <c r="D10" s="151">
        <f>67478631+4500000+136964931.78</f>
        <v>208943562.78</v>
      </c>
      <c r="E10" s="152">
        <v>124703887.26000001</v>
      </c>
      <c r="F10" s="148">
        <f t="shared" si="0"/>
        <v>0.5968304818813811</v>
      </c>
      <c r="G10" s="151">
        <f>+D10-E10</f>
        <v>84239675.519999996</v>
      </c>
    </row>
    <row r="11" spans="1:9" x14ac:dyDescent="0.3">
      <c r="B11" s="149">
        <v>1.5</v>
      </c>
      <c r="C11" s="150" t="s">
        <v>138</v>
      </c>
      <c r="D11" s="151">
        <v>225000000</v>
      </c>
      <c r="E11" s="152">
        <v>168304990.53999999</v>
      </c>
      <c r="F11" s="148">
        <f t="shared" si="0"/>
        <v>0.74802218017777777</v>
      </c>
      <c r="G11" s="151">
        <f t="shared" ref="G11" si="1">+D11-E11</f>
        <v>56695009.460000008</v>
      </c>
    </row>
    <row r="12" spans="1:9" x14ac:dyDescent="0.3">
      <c r="B12" s="145">
        <v>2</v>
      </c>
      <c r="C12" s="146" t="s">
        <v>139</v>
      </c>
      <c r="D12" s="147">
        <f>SUM(D13:D18)</f>
        <v>433943562.77999997</v>
      </c>
      <c r="E12" s="147">
        <f>SUM(E13:E18)</f>
        <v>293008877.80000001</v>
      </c>
      <c r="F12" s="148">
        <f t="shared" si="0"/>
        <v>0.67522346897573216</v>
      </c>
      <c r="G12" s="147">
        <f t="shared" ref="G12:G18" si="2">+D12-E12</f>
        <v>140934684.97999996</v>
      </c>
    </row>
    <row r="13" spans="1:9" ht="17.25" customHeight="1" x14ac:dyDescent="0.3">
      <c r="B13" s="149">
        <v>2.1</v>
      </c>
      <c r="C13" s="150" t="s">
        <v>140</v>
      </c>
      <c r="D13" s="151">
        <f>99640000+90831578.39</f>
        <v>190471578.38999999</v>
      </c>
      <c r="E13" s="151">
        <f>145258069.59+28285189.04</f>
        <v>173543258.63</v>
      </c>
      <c r="F13" s="153">
        <f t="shared" si="0"/>
        <v>0.91112416926929429</v>
      </c>
      <c r="G13" s="151">
        <f t="shared" si="2"/>
        <v>16928319.75999999</v>
      </c>
    </row>
    <row r="14" spans="1:9" x14ac:dyDescent="0.3">
      <c r="B14" s="149">
        <v>2.2000000000000002</v>
      </c>
      <c r="C14" s="150" t="s">
        <v>141</v>
      </c>
      <c r="D14" s="151">
        <v>146786461.02000001</v>
      </c>
      <c r="E14" s="151">
        <v>61593278.159999996</v>
      </c>
      <c r="F14" s="153">
        <f t="shared" si="0"/>
        <v>0.41961143917495064</v>
      </c>
      <c r="G14" s="151">
        <f t="shared" si="2"/>
        <v>85193182.860000014</v>
      </c>
      <c r="I14" s="154"/>
    </row>
    <row r="15" spans="1:9" x14ac:dyDescent="0.3">
      <c r="B15" s="149">
        <v>2.2999999999999998</v>
      </c>
      <c r="C15" s="150" t="s">
        <v>142</v>
      </c>
      <c r="D15" s="151">
        <v>57813523.369999997</v>
      </c>
      <c r="E15" s="151">
        <v>18695095.84</v>
      </c>
      <c r="F15" s="153">
        <f t="shared" si="0"/>
        <v>0.32336890661988382</v>
      </c>
      <c r="G15" s="151">
        <f t="shared" si="2"/>
        <v>39118427.530000001</v>
      </c>
      <c r="I15" s="155"/>
    </row>
    <row r="16" spans="1:9" x14ac:dyDescent="0.3">
      <c r="B16" s="149">
        <v>2.4</v>
      </c>
      <c r="C16" s="150" t="s">
        <v>143</v>
      </c>
      <c r="D16" s="151">
        <v>21063000</v>
      </c>
      <c r="E16" s="151">
        <f>10654124.12+10837137.07</f>
        <v>21491261.189999998</v>
      </c>
      <c r="F16" s="153">
        <f t="shared" si="0"/>
        <v>1.0203323928215353</v>
      </c>
      <c r="G16" s="151">
        <f t="shared" si="2"/>
        <v>-428261.18999999762</v>
      </c>
      <c r="I16" s="156"/>
    </row>
    <row r="17" spans="2:9" ht="15.6" customHeight="1" x14ac:dyDescent="0.3">
      <c r="B17" s="149">
        <v>2.6</v>
      </c>
      <c r="C17" s="150" t="s">
        <v>144</v>
      </c>
      <c r="D17" s="151">
        <v>17409000</v>
      </c>
      <c r="E17" s="151">
        <v>17685983.98</v>
      </c>
      <c r="F17" s="153">
        <f t="shared" si="0"/>
        <v>1.0159103900281463</v>
      </c>
      <c r="G17" s="151">
        <f t="shared" si="2"/>
        <v>-276983.98000000045</v>
      </c>
      <c r="I17" s="154"/>
    </row>
    <row r="18" spans="2:9" x14ac:dyDescent="0.3">
      <c r="B18" s="149">
        <v>2.7</v>
      </c>
      <c r="C18" s="150" t="s">
        <v>433</v>
      </c>
      <c r="D18" s="157">
        <v>400000</v>
      </c>
      <c r="E18" s="157">
        <v>0</v>
      </c>
      <c r="F18" s="153">
        <f t="shared" si="0"/>
        <v>0</v>
      </c>
      <c r="G18" s="151">
        <f t="shared" si="2"/>
        <v>400000</v>
      </c>
      <c r="I18" s="158"/>
    </row>
    <row r="19" spans="2:9" ht="21.75" customHeight="1" x14ac:dyDescent="0.3">
      <c r="B19" s="159"/>
      <c r="C19" s="172" t="s">
        <v>407</v>
      </c>
      <c r="D19" s="160">
        <f>+D8-D12</f>
        <v>0</v>
      </c>
      <c r="E19" s="147">
        <f>+E8-E12</f>
        <v>0</v>
      </c>
      <c r="F19" s="160">
        <f>+F8-F12</f>
        <v>0</v>
      </c>
      <c r="G19" s="161">
        <f>+G8-G12</f>
        <v>0</v>
      </c>
      <c r="I19" s="155"/>
    </row>
    <row r="20" spans="2:9" x14ac:dyDescent="0.3">
      <c r="B20" s="159"/>
      <c r="C20" s="143"/>
      <c r="D20" s="160">
        <f>+D12-D8</f>
        <v>0</v>
      </c>
      <c r="E20" s="147"/>
      <c r="F20" s="160"/>
      <c r="G20" s="161"/>
      <c r="I20" s="155"/>
    </row>
    <row r="21" spans="2:9" x14ac:dyDescent="0.3">
      <c r="C21" s="140" t="s">
        <v>479</v>
      </c>
      <c r="E21" s="155">
        <v>251114392.53999999</v>
      </c>
      <c r="I21" s="162"/>
    </row>
    <row r="22" spans="2:9" hidden="1" x14ac:dyDescent="0.3">
      <c r="D22" s="162"/>
      <c r="E22" s="162"/>
    </row>
    <row r="23" spans="2:9" s="163" customFormat="1" hidden="1" x14ac:dyDescent="0.3">
      <c r="F23" s="164"/>
    </row>
    <row r="24" spans="2:9" s="163" customFormat="1" hidden="1" x14ac:dyDescent="0.3">
      <c r="F24" s="164"/>
    </row>
    <row r="25" spans="2:9" s="163" customFormat="1" hidden="1" x14ac:dyDescent="0.3"/>
    <row r="26" spans="2:9" s="163" customFormat="1" hidden="1" x14ac:dyDescent="0.3"/>
    <row r="27" spans="2:9" s="163" customFormat="1" hidden="1" x14ac:dyDescent="0.3"/>
    <row r="28" spans="2:9" s="163" customFormat="1" hidden="1" x14ac:dyDescent="0.3"/>
    <row r="29" spans="2:9" s="163" customFormat="1" hidden="1" x14ac:dyDescent="0.3"/>
    <row r="30" spans="2:9" s="163" customFormat="1" hidden="1" x14ac:dyDescent="0.3"/>
    <row r="31" spans="2:9" s="163" customFormat="1" hidden="1" x14ac:dyDescent="0.3"/>
    <row r="32" spans="2:9" s="163" customFormat="1" hidden="1" x14ac:dyDescent="0.3"/>
    <row r="33" spans="2:16" s="163" customFormat="1" hidden="1" x14ac:dyDescent="0.3"/>
    <row r="34" spans="2:16" s="168" customFormat="1" hidden="1" x14ac:dyDescent="0.3">
      <c r="B34" s="165"/>
      <c r="C34" s="166"/>
      <c r="D34" s="165"/>
      <c r="E34" s="165"/>
      <c r="F34" s="156"/>
      <c r="G34" s="156"/>
      <c r="H34" s="156"/>
      <c r="I34" s="156"/>
      <c r="J34" s="156"/>
      <c r="K34" s="156"/>
      <c r="L34" s="167"/>
      <c r="M34" s="167"/>
      <c r="N34" s="167"/>
      <c r="O34" s="165"/>
      <c r="P34" s="165"/>
    </row>
    <row r="35" spans="2:16" hidden="1" x14ac:dyDescent="0.3"/>
    <row r="36" spans="2:16" x14ac:dyDescent="0.3">
      <c r="C36" s="140" t="s">
        <v>405</v>
      </c>
      <c r="E36" s="155">
        <v>300089062.25999999</v>
      </c>
    </row>
    <row r="37" spans="2:16" ht="18" customHeight="1" x14ac:dyDescent="0.3">
      <c r="C37" s="172" t="s">
        <v>406</v>
      </c>
      <c r="D37" s="169"/>
      <c r="E37" s="171">
        <f>+E21-E36</f>
        <v>-48974669.719999999</v>
      </c>
    </row>
    <row r="38" spans="2:16" x14ac:dyDescent="0.3">
      <c r="C38" s="140" t="s">
        <v>408</v>
      </c>
      <c r="E38" s="155">
        <f>6263166.43+87231.9+631850.25+180684.8+4267169</f>
        <v>11430102.379999999</v>
      </c>
    </row>
    <row r="39" spans="2:16" x14ac:dyDescent="0.3">
      <c r="C39" s="169" t="s">
        <v>418</v>
      </c>
      <c r="D39" s="171">
        <f>+E21-E8</f>
        <v>-41894485.26000002</v>
      </c>
      <c r="E39" s="147"/>
    </row>
    <row r="40" spans="2:16" x14ac:dyDescent="0.3">
      <c r="C40" s="169" t="s">
        <v>419</v>
      </c>
      <c r="D40" s="171">
        <f>+E12-E36</f>
        <v>-7080184.4599999785</v>
      </c>
      <c r="E40" s="147"/>
    </row>
    <row r="41" spans="2:16" x14ac:dyDescent="0.3">
      <c r="C41" s="169"/>
      <c r="D41" s="169"/>
      <c r="E41" s="170"/>
    </row>
    <row r="42" spans="2:16" x14ac:dyDescent="0.3">
      <c r="G42" s="155"/>
    </row>
    <row r="43" spans="2:16" s="163" customFormat="1" x14ac:dyDescent="0.3">
      <c r="D43" s="164"/>
    </row>
    <row r="44" spans="2:16" s="163" customFormat="1" x14ac:dyDescent="0.3">
      <c r="D44" s="164"/>
    </row>
    <row r="45" spans="2:16" s="163" customFormat="1" x14ac:dyDescent="0.3"/>
    <row r="46" spans="2:16" s="163" customFormat="1" x14ac:dyDescent="0.3"/>
    <row r="47" spans="2:16" s="163" customFormat="1" x14ac:dyDescent="0.3"/>
    <row r="48" spans="2:16" s="163" customFormat="1" x14ac:dyDescent="0.3"/>
    <row r="49" s="163" customFormat="1" x14ac:dyDescent="0.3"/>
    <row r="50" s="163" customFormat="1" x14ac:dyDescent="0.3"/>
    <row r="51" s="163" customFormat="1" x14ac:dyDescent="0.3"/>
    <row r="52" s="163" customFormat="1" x14ac:dyDescent="0.3"/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3"/>
  <sheetViews>
    <sheetView workbookViewId="0">
      <selection activeCell="D21" sqref="D21"/>
    </sheetView>
  </sheetViews>
  <sheetFormatPr baseColWidth="10" defaultColWidth="10.85546875" defaultRowHeight="15" x14ac:dyDescent="0.25"/>
  <cols>
    <col min="1" max="1" width="4.85546875" style="9" customWidth="1"/>
    <col min="2" max="2" width="26.5703125" style="9" customWidth="1"/>
    <col min="3" max="3" width="13" style="9" customWidth="1"/>
    <col min="4" max="4" width="14" style="9" customWidth="1"/>
    <col min="5" max="5" width="2.42578125" style="9" customWidth="1"/>
    <col min="6" max="7" width="12.7109375" style="9" bestFit="1" customWidth="1"/>
    <col min="8" max="16384" width="10.85546875" style="9"/>
  </cols>
  <sheetData>
    <row r="2" spans="2:8" x14ac:dyDescent="0.25">
      <c r="B2" s="296" t="s">
        <v>301</v>
      </c>
      <c r="C2" s="296"/>
      <c r="D2" s="296"/>
      <c r="E2" s="296"/>
      <c r="F2" s="296"/>
      <c r="G2" s="296"/>
      <c r="H2" s="296"/>
    </row>
    <row r="3" spans="2:8" ht="15.75" x14ac:dyDescent="0.25">
      <c r="B3" s="294" t="s">
        <v>288</v>
      </c>
      <c r="C3" s="294"/>
      <c r="D3" s="294"/>
      <c r="E3" s="294"/>
      <c r="F3" s="294"/>
      <c r="G3" s="294"/>
      <c r="H3" s="70"/>
    </row>
    <row r="4" spans="2:8" ht="15.75" x14ac:dyDescent="0.25">
      <c r="B4" s="294" t="s">
        <v>116</v>
      </c>
      <c r="C4" s="294"/>
      <c r="D4" s="294"/>
      <c r="E4" s="294"/>
      <c r="F4" s="294"/>
      <c r="G4" s="294"/>
      <c r="H4" s="70"/>
    </row>
    <row r="7" spans="2:8" x14ac:dyDescent="0.25">
      <c r="C7" s="295">
        <f>+'FLUJO DE EFECTIVO ACTUAL'!B12</f>
        <v>2025</v>
      </c>
      <c r="D7" s="295"/>
      <c r="F7" s="295">
        <f>+'FLUJO DE EFECTIVO ACTUAL'!D12</f>
        <v>2024</v>
      </c>
      <c r="G7" s="295"/>
    </row>
    <row r="8" spans="2:8" x14ac:dyDescent="0.25">
      <c r="B8" s="71" t="s">
        <v>289</v>
      </c>
      <c r="C8" s="72" t="s">
        <v>290</v>
      </c>
      <c r="D8" s="72" t="s">
        <v>291</v>
      </c>
      <c r="E8" s="73"/>
      <c r="F8" s="72" t="s">
        <v>290</v>
      </c>
      <c r="G8" s="72" t="s">
        <v>291</v>
      </c>
    </row>
    <row r="9" spans="2:8" x14ac:dyDescent="0.25">
      <c r="B9" s="9" t="s">
        <v>289</v>
      </c>
      <c r="C9" s="73">
        <f>+'NOTAS '!G543</f>
        <v>6263166.4299999997</v>
      </c>
      <c r="D9" s="73"/>
      <c r="E9" s="73"/>
      <c r="F9" s="73">
        <f>+'NOTAS '!I543</f>
        <v>5875950.1200000001</v>
      </c>
      <c r="G9" s="73"/>
    </row>
    <row r="10" spans="2:8" x14ac:dyDescent="0.25">
      <c r="B10" s="9" t="s">
        <v>289</v>
      </c>
      <c r="C10" s="73">
        <v>0</v>
      </c>
      <c r="D10" s="73"/>
      <c r="E10" s="73"/>
      <c r="F10" s="73">
        <v>0</v>
      </c>
      <c r="G10" s="73"/>
    </row>
    <row r="11" spans="2:8" x14ac:dyDescent="0.25">
      <c r="B11" s="9" t="s">
        <v>292</v>
      </c>
      <c r="C11" s="73"/>
      <c r="D11" s="73">
        <f>+C9</f>
        <v>6263166.4299999997</v>
      </c>
      <c r="E11" s="73"/>
      <c r="F11" s="73"/>
      <c r="G11" s="73">
        <f>+F9</f>
        <v>5875950.1200000001</v>
      </c>
    </row>
    <row r="12" spans="2:8" ht="15.75" thickBot="1" x14ac:dyDescent="0.3">
      <c r="C12" s="74">
        <f>SUM(C9:C11)</f>
        <v>6263166.4299999997</v>
      </c>
      <c r="D12" s="74">
        <f>SUM(D11)</f>
        <v>6263166.4299999997</v>
      </c>
      <c r="E12" s="73"/>
      <c r="F12" s="74">
        <f>SUM(F9:F11)</f>
        <v>5875950.1200000001</v>
      </c>
      <c r="G12" s="74">
        <f>SUM(G11)</f>
        <v>5875950.1200000001</v>
      </c>
    </row>
    <row r="13" spans="2:8" ht="15.75" thickTop="1" x14ac:dyDescent="0.25">
      <c r="C13" s="73"/>
      <c r="D13" s="73"/>
      <c r="E13" s="73"/>
      <c r="F13" s="73"/>
      <c r="G13" s="73"/>
    </row>
    <row r="14" spans="2:8" x14ac:dyDescent="0.25">
      <c r="B14" s="71" t="s">
        <v>293</v>
      </c>
      <c r="C14" s="73"/>
      <c r="D14" s="73"/>
      <c r="E14" s="73"/>
      <c r="F14" s="73"/>
      <c r="G14" s="73"/>
    </row>
    <row r="15" spans="2:8" x14ac:dyDescent="0.25">
      <c r="B15" s="9" t="s">
        <v>293</v>
      </c>
      <c r="C15" s="97">
        <f>+'NOTAS '!G570+'NOTAS '!G571</f>
        <v>899766.95</v>
      </c>
      <c r="D15" s="97"/>
      <c r="E15" s="73"/>
      <c r="F15" s="97">
        <f>+'NOTAS '!I570+'NOTAS '!I571</f>
        <v>4233989.91</v>
      </c>
      <c r="G15" s="97"/>
    </row>
    <row r="16" spans="2:8" x14ac:dyDescent="0.25">
      <c r="B16" s="9" t="s">
        <v>294</v>
      </c>
      <c r="C16" s="97"/>
      <c r="D16" s="97">
        <f>+C15</f>
        <v>899766.95</v>
      </c>
      <c r="E16" s="73"/>
      <c r="F16" s="97"/>
      <c r="G16" s="97">
        <f>+F15</f>
        <v>4233989.91</v>
      </c>
    </row>
    <row r="17" spans="2:7" x14ac:dyDescent="0.25">
      <c r="C17" s="96"/>
      <c r="D17" s="96"/>
      <c r="E17" s="73"/>
      <c r="F17" s="96"/>
      <c r="G17" s="96"/>
    </row>
    <row r="18" spans="2:7" x14ac:dyDescent="0.25">
      <c r="B18" s="71" t="s">
        <v>32</v>
      </c>
      <c r="C18" s="73"/>
      <c r="D18" s="73"/>
      <c r="E18" s="73"/>
      <c r="F18" s="73"/>
      <c r="G18" s="73"/>
    </row>
    <row r="19" spans="2:7" x14ac:dyDescent="0.25">
      <c r="B19" s="9" t="s">
        <v>292</v>
      </c>
      <c r="C19" s="73">
        <f>+'NOTAS '!G250</f>
        <v>5265910.82</v>
      </c>
      <c r="D19" s="73"/>
      <c r="E19" s="73"/>
      <c r="F19" s="73">
        <f>+F12</f>
        <v>5875950.1200000001</v>
      </c>
      <c r="G19" s="73"/>
    </row>
    <row r="20" spans="2:7" x14ac:dyDescent="0.25">
      <c r="B20" s="9" t="s">
        <v>292</v>
      </c>
      <c r="C20" s="73"/>
      <c r="D20" s="73">
        <f>+C19</f>
        <v>5265910.82</v>
      </c>
      <c r="E20" s="73"/>
      <c r="F20" s="73"/>
      <c r="G20" s="73">
        <f>+F19</f>
        <v>5875950.1200000001</v>
      </c>
    </row>
    <row r="21" spans="2:7" x14ac:dyDescent="0.25">
      <c r="B21" s="9" t="s">
        <v>295</v>
      </c>
      <c r="C21" s="73"/>
      <c r="D21" s="73"/>
      <c r="E21" s="73"/>
      <c r="F21" s="73">
        <f>+'NOTAS '!G259</f>
        <v>0</v>
      </c>
      <c r="G21" s="73"/>
    </row>
    <row r="22" spans="2:7" x14ac:dyDescent="0.25">
      <c r="B22" s="9" t="s">
        <v>296</v>
      </c>
      <c r="C22" s="73"/>
      <c r="D22" s="73"/>
      <c r="E22" s="73"/>
      <c r="F22" s="73"/>
      <c r="G22" s="73">
        <f>+'NOTAS '!G265</f>
        <v>-5875950.1200000001</v>
      </c>
    </row>
    <row r="23" spans="2:7" x14ac:dyDescent="0.25">
      <c r="B23" s="9" t="s">
        <v>296</v>
      </c>
      <c r="C23" s="73"/>
      <c r="D23" s="73"/>
      <c r="E23" s="73"/>
      <c r="F23" s="73"/>
      <c r="G23" s="73"/>
    </row>
    <row r="24" spans="2:7" ht="15.75" thickBot="1" x14ac:dyDescent="0.3">
      <c r="C24" s="74">
        <f>SUM(C19:C23)</f>
        <v>5265910.82</v>
      </c>
      <c r="D24" s="74">
        <f>SUM(D22:D23)</f>
        <v>0</v>
      </c>
      <c r="E24" s="73"/>
      <c r="F24" s="74">
        <f>SUM(F19:F23)</f>
        <v>5875950.1200000001</v>
      </c>
      <c r="G24" s="74">
        <f>SUM(G19:G23)</f>
        <v>0</v>
      </c>
    </row>
    <row r="25" spans="2:7" ht="15.75" thickTop="1" x14ac:dyDescent="0.25">
      <c r="C25" s="73"/>
      <c r="D25" s="73"/>
      <c r="E25" s="73"/>
      <c r="F25" s="73"/>
      <c r="G25" s="73"/>
    </row>
    <row r="26" spans="2:7" hidden="1" x14ac:dyDescent="0.25">
      <c r="B26" s="75" t="s">
        <v>32</v>
      </c>
      <c r="C26" s="73"/>
      <c r="D26" s="73"/>
      <c r="E26" s="73"/>
      <c r="F26" s="73"/>
      <c r="G26" s="73"/>
    </row>
    <row r="27" spans="2:7" hidden="1" x14ac:dyDescent="0.25">
      <c r="B27" s="9" t="s">
        <v>294</v>
      </c>
      <c r="C27" s="73">
        <v>2141793</v>
      </c>
      <c r="D27" s="73"/>
      <c r="E27" s="73"/>
      <c r="F27" s="73">
        <v>2300510</v>
      </c>
      <c r="G27" s="73"/>
    </row>
    <row r="28" spans="2:7" hidden="1" x14ac:dyDescent="0.25">
      <c r="B28" s="9" t="s">
        <v>295</v>
      </c>
      <c r="C28" s="73">
        <v>3335319</v>
      </c>
      <c r="D28" s="73"/>
      <c r="E28" s="73"/>
      <c r="F28" s="73">
        <v>2115664</v>
      </c>
      <c r="G28" s="73"/>
    </row>
    <row r="29" spans="2:7" hidden="1" x14ac:dyDescent="0.25">
      <c r="B29" s="9" t="s">
        <v>297</v>
      </c>
      <c r="C29" s="73"/>
      <c r="D29" s="76">
        <v>5477112</v>
      </c>
      <c r="E29" s="73"/>
      <c r="F29" s="73"/>
      <c r="G29" s="73">
        <v>4416174</v>
      </c>
    </row>
    <row r="30" spans="2:7" ht="15.75" hidden="1" thickBot="1" x14ac:dyDescent="0.3">
      <c r="C30" s="74">
        <v>5477112</v>
      </c>
      <c r="D30" s="74">
        <v>5477112</v>
      </c>
      <c r="E30" s="73"/>
      <c r="F30" s="74">
        <v>4416174</v>
      </c>
      <c r="G30" s="74">
        <v>4416174</v>
      </c>
    </row>
    <row r="31" spans="2:7" hidden="1" x14ac:dyDescent="0.25">
      <c r="E31" s="73"/>
      <c r="F31" s="73"/>
      <c r="G31" s="73"/>
    </row>
    <row r="32" spans="2:7" hidden="1" x14ac:dyDescent="0.25">
      <c r="E32" s="73"/>
    </row>
    <row r="33" spans="3:3" x14ac:dyDescent="0.25">
      <c r="C33" s="134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L863"/>
  <sheetViews>
    <sheetView tabSelected="1" showWhiteSpace="0" topLeftCell="A222" zoomScaleNormal="100" zoomScaleSheetLayoutView="96" zoomScalePageLayoutView="73" workbookViewId="0">
      <selection activeCell="N231" sqref="N231"/>
    </sheetView>
  </sheetViews>
  <sheetFormatPr baseColWidth="10" defaultColWidth="11.7109375" defaultRowHeight="21" x14ac:dyDescent="0.35"/>
  <cols>
    <col min="1" max="1" width="12.5703125" style="174" customWidth="1"/>
    <col min="2" max="2" width="10.140625" style="174" customWidth="1"/>
    <col min="3" max="3" width="27.140625" style="174" customWidth="1"/>
    <col min="4" max="4" width="33.140625" style="174" customWidth="1"/>
    <col min="5" max="5" width="3.85546875" style="174" customWidth="1"/>
    <col min="6" max="6" width="25.85546875" style="174" customWidth="1"/>
    <col min="7" max="7" width="27.7109375" style="175" customWidth="1"/>
    <col min="8" max="8" width="0.42578125" style="175" customWidth="1"/>
    <col min="9" max="9" width="33.7109375" style="175" customWidth="1"/>
    <col min="10" max="10" width="21" style="174" bestFit="1" customWidth="1"/>
    <col min="11" max="11" width="27.28515625" style="12" hidden="1" customWidth="1"/>
    <col min="12" max="16384" width="11.7109375" style="174"/>
  </cols>
  <sheetData>
    <row r="3" spans="1:8" x14ac:dyDescent="0.35">
      <c r="D3" s="278" t="s">
        <v>203</v>
      </c>
      <c r="E3" s="278"/>
      <c r="F3" s="278"/>
      <c r="G3" s="278"/>
    </row>
    <row r="4" spans="1:8" x14ac:dyDescent="0.35">
      <c r="D4" s="278" t="s">
        <v>473</v>
      </c>
      <c r="E4" s="278"/>
      <c r="F4" s="278"/>
      <c r="G4" s="278"/>
      <c r="H4" s="174"/>
    </row>
    <row r="5" spans="1:8" x14ac:dyDescent="0.35">
      <c r="D5" s="278" t="s">
        <v>204</v>
      </c>
      <c r="E5" s="278"/>
      <c r="F5" s="278"/>
      <c r="G5" s="278"/>
      <c r="H5" s="174"/>
    </row>
    <row r="6" spans="1:8" x14ac:dyDescent="0.35">
      <c r="A6" s="176"/>
    </row>
    <row r="7" spans="1:8" ht="22.15" customHeight="1" x14ac:dyDescent="0.35">
      <c r="A7" s="177" t="s">
        <v>205</v>
      </c>
    </row>
    <row r="8" spans="1:8" ht="22.15" customHeight="1" x14ac:dyDescent="0.35">
      <c r="A8" s="177"/>
    </row>
    <row r="9" spans="1:8" ht="22.15" customHeight="1" x14ac:dyDescent="0.35">
      <c r="A9" s="178" t="s">
        <v>206</v>
      </c>
      <c r="B9" s="178"/>
      <c r="C9" s="178"/>
      <c r="D9" s="178"/>
      <c r="E9" s="178"/>
      <c r="F9" s="178"/>
      <c r="G9" s="178"/>
    </row>
    <row r="10" spans="1:8" ht="22.15" customHeight="1" x14ac:dyDescent="0.35">
      <c r="A10" s="176" t="s">
        <v>416</v>
      </c>
      <c r="B10" s="176"/>
      <c r="C10" s="176"/>
      <c r="D10" s="176"/>
      <c r="E10" s="176"/>
      <c r="F10" s="176"/>
      <c r="G10" s="176"/>
    </row>
    <row r="11" spans="1:8" ht="22.15" customHeight="1" x14ac:dyDescent="0.35">
      <c r="A11" s="176" t="s">
        <v>415</v>
      </c>
      <c r="B11" s="176"/>
      <c r="C11" s="176"/>
      <c r="D11" s="176"/>
      <c r="E11" s="176"/>
      <c r="F11" s="176"/>
      <c r="G11" s="176"/>
    </row>
    <row r="12" spans="1:8" ht="22.15" customHeight="1" x14ac:dyDescent="0.35">
      <c r="A12" s="279" t="s">
        <v>209</v>
      </c>
      <c r="B12" s="279"/>
      <c r="C12" s="279"/>
      <c r="D12" s="279"/>
      <c r="E12" s="279"/>
      <c r="F12" s="279"/>
      <c r="G12" s="279"/>
    </row>
    <row r="13" spans="1:8" ht="22.15" customHeight="1" x14ac:dyDescent="0.35">
      <c r="A13" s="179"/>
      <c r="B13" s="179"/>
      <c r="C13" s="179"/>
      <c r="D13" s="179"/>
      <c r="E13" s="179"/>
      <c r="F13" s="179"/>
      <c r="G13" s="179"/>
    </row>
    <row r="14" spans="1:8" ht="22.15" customHeight="1" x14ac:dyDescent="0.35">
      <c r="A14" s="279" t="s">
        <v>207</v>
      </c>
      <c r="B14" s="279"/>
      <c r="C14" s="279"/>
      <c r="D14" s="279"/>
      <c r="E14" s="279"/>
      <c r="F14" s="279"/>
      <c r="G14" s="279"/>
    </row>
    <row r="15" spans="1:8" ht="22.15" customHeight="1" x14ac:dyDescent="0.35">
      <c r="A15" s="176" t="s">
        <v>261</v>
      </c>
      <c r="B15" s="176"/>
      <c r="C15" s="176"/>
      <c r="D15" s="176"/>
      <c r="E15" s="176"/>
      <c r="F15" s="176"/>
      <c r="G15" s="176"/>
    </row>
    <row r="16" spans="1:8" ht="22.15" customHeight="1" x14ac:dyDescent="0.35">
      <c r="A16" s="176" t="s">
        <v>329</v>
      </c>
      <c r="B16" s="176"/>
      <c r="C16" s="176"/>
      <c r="D16" s="176"/>
      <c r="E16" s="176"/>
      <c r="F16" s="176"/>
      <c r="G16" s="176"/>
    </row>
    <row r="17" spans="1:9" ht="22.15" customHeight="1" x14ac:dyDescent="0.35">
      <c r="A17" s="176" t="s">
        <v>208</v>
      </c>
      <c r="B17" s="176"/>
      <c r="C17" s="176"/>
      <c r="D17" s="176"/>
      <c r="E17" s="176"/>
      <c r="F17" s="176"/>
      <c r="G17" s="176"/>
    </row>
    <row r="18" spans="1:9" ht="22.15" customHeight="1" x14ac:dyDescent="0.35">
      <c r="A18" s="176" t="s">
        <v>210</v>
      </c>
      <c r="B18" s="176"/>
      <c r="C18" s="176"/>
      <c r="D18" s="176"/>
      <c r="E18" s="176"/>
      <c r="F18" s="176"/>
    </row>
    <row r="19" spans="1:9" ht="22.15" customHeight="1" x14ac:dyDescent="0.35">
      <c r="A19" s="279" t="s">
        <v>211</v>
      </c>
      <c r="B19" s="279"/>
      <c r="C19" s="279"/>
      <c r="D19" s="279"/>
      <c r="E19" s="279"/>
      <c r="F19" s="279"/>
      <c r="G19" s="279"/>
      <c r="H19" s="279"/>
      <c r="I19" s="279"/>
    </row>
    <row r="20" spans="1:9" ht="22.15" customHeight="1" x14ac:dyDescent="0.35">
      <c r="A20" s="179"/>
      <c r="B20" s="179"/>
      <c r="C20" s="179"/>
      <c r="D20" s="179"/>
      <c r="E20" s="179"/>
      <c r="F20" s="179"/>
      <c r="G20" s="179"/>
      <c r="H20" s="179"/>
      <c r="I20" s="179"/>
    </row>
    <row r="21" spans="1:9" ht="22.15" customHeight="1" x14ac:dyDescent="0.35">
      <c r="A21" s="176" t="s">
        <v>212</v>
      </c>
      <c r="B21" s="176"/>
      <c r="C21" s="176"/>
      <c r="D21" s="176"/>
      <c r="E21" s="176"/>
      <c r="F21" s="176"/>
    </row>
    <row r="22" spans="1:9" ht="22.15" customHeight="1" x14ac:dyDescent="0.35">
      <c r="A22" s="176" t="s">
        <v>437</v>
      </c>
      <c r="B22" s="176"/>
      <c r="C22" s="176"/>
      <c r="D22" s="176"/>
      <c r="E22" s="176"/>
      <c r="F22" s="176"/>
    </row>
    <row r="23" spans="1:9" ht="22.15" customHeight="1" x14ac:dyDescent="0.35">
      <c r="A23" s="176" t="s">
        <v>213</v>
      </c>
      <c r="B23" s="176"/>
      <c r="C23" s="176"/>
      <c r="D23" s="176"/>
      <c r="E23" s="176"/>
      <c r="F23" s="176"/>
    </row>
    <row r="24" spans="1:9" ht="22.15" customHeight="1" x14ac:dyDescent="0.35"/>
    <row r="25" spans="1:9" ht="22.15" customHeight="1" x14ac:dyDescent="0.35">
      <c r="A25" s="178" t="s">
        <v>214</v>
      </c>
      <c r="B25" s="178"/>
      <c r="C25" s="178"/>
      <c r="D25" s="178"/>
    </row>
    <row r="26" spans="1:9" ht="22.15" customHeight="1" x14ac:dyDescent="0.35"/>
    <row r="27" spans="1:9" ht="22.15" customHeight="1" x14ac:dyDescent="0.35">
      <c r="A27" s="176" t="s">
        <v>436</v>
      </c>
      <c r="B27" s="176"/>
      <c r="C27" s="176"/>
      <c r="D27" s="176"/>
      <c r="E27" s="176"/>
      <c r="F27" s="176"/>
    </row>
    <row r="28" spans="1:9" ht="22.15" customHeight="1" x14ac:dyDescent="0.35">
      <c r="A28" s="176"/>
      <c r="B28" s="176"/>
      <c r="C28" s="176"/>
      <c r="D28" s="176"/>
      <c r="E28" s="176"/>
      <c r="F28" s="176"/>
    </row>
    <row r="29" spans="1:9" ht="22.15" customHeight="1" x14ac:dyDescent="0.35">
      <c r="A29" s="180" t="s">
        <v>215</v>
      </c>
      <c r="B29" s="180"/>
      <c r="C29" s="181"/>
      <c r="D29" s="280" t="s">
        <v>216</v>
      </c>
      <c r="E29" s="280"/>
      <c r="F29" s="181"/>
    </row>
    <row r="30" spans="1:9" ht="22.15" customHeight="1" x14ac:dyDescent="0.35">
      <c r="A30" s="280" t="s">
        <v>217</v>
      </c>
      <c r="B30" s="280"/>
      <c r="C30" s="280"/>
      <c r="D30" s="280" t="s">
        <v>218</v>
      </c>
      <c r="E30" s="280"/>
      <c r="F30" s="181"/>
    </row>
    <row r="31" spans="1:9" ht="22.15" customHeight="1" x14ac:dyDescent="0.35">
      <c r="A31" s="180" t="s">
        <v>219</v>
      </c>
      <c r="B31" s="180"/>
      <c r="C31" s="181"/>
      <c r="D31" s="180" t="s">
        <v>220</v>
      </c>
      <c r="E31" s="180"/>
      <c r="F31" s="181"/>
    </row>
    <row r="32" spans="1:9" ht="22.15" customHeight="1" x14ac:dyDescent="0.35">
      <c r="A32" s="180" t="s">
        <v>221</v>
      </c>
      <c r="B32" s="180"/>
      <c r="C32" s="181"/>
      <c r="D32" s="280" t="s">
        <v>222</v>
      </c>
      <c r="E32" s="280"/>
      <c r="F32" s="181"/>
    </row>
    <row r="33" spans="1:6" ht="22.15" customHeight="1" x14ac:dyDescent="0.35">
      <c r="A33" s="174" t="s">
        <v>434</v>
      </c>
      <c r="D33" s="174" t="s">
        <v>435</v>
      </c>
    </row>
    <row r="34" spans="1:6" ht="22.15" customHeight="1" x14ac:dyDescent="0.35"/>
    <row r="35" spans="1:6" ht="22.15" customHeight="1" x14ac:dyDescent="0.35">
      <c r="A35" s="178" t="s">
        <v>223</v>
      </c>
      <c r="B35" s="178"/>
      <c r="C35" s="178"/>
      <c r="D35" s="178"/>
    </row>
    <row r="36" spans="1:6" ht="22.15" customHeight="1" x14ac:dyDescent="0.35"/>
    <row r="37" spans="1:6" ht="22.15" customHeight="1" x14ac:dyDescent="0.35">
      <c r="A37" s="176" t="s">
        <v>224</v>
      </c>
      <c r="B37" s="176"/>
      <c r="C37" s="176"/>
      <c r="D37" s="176"/>
      <c r="E37" s="176"/>
      <c r="F37" s="176"/>
    </row>
    <row r="38" spans="1:6" ht="22.15" customHeight="1" x14ac:dyDescent="0.35">
      <c r="A38" s="176" t="s">
        <v>225</v>
      </c>
      <c r="B38" s="176"/>
      <c r="C38" s="176"/>
      <c r="D38" s="176"/>
      <c r="E38" s="176"/>
      <c r="F38" s="176"/>
    </row>
    <row r="39" spans="1:6" ht="22.15" customHeight="1" x14ac:dyDescent="0.35">
      <c r="A39" s="174" t="s">
        <v>347</v>
      </c>
    </row>
    <row r="40" spans="1:6" ht="22.15" customHeight="1" x14ac:dyDescent="0.35"/>
    <row r="41" spans="1:6" ht="22.15" customHeight="1" x14ac:dyDescent="0.35">
      <c r="A41" s="176" t="s">
        <v>226</v>
      </c>
      <c r="B41" s="176"/>
      <c r="C41" s="176"/>
      <c r="D41" s="176"/>
      <c r="E41" s="176"/>
      <c r="F41" s="176"/>
    </row>
    <row r="42" spans="1:6" ht="22.15" customHeight="1" x14ac:dyDescent="0.35">
      <c r="A42" s="174" t="s">
        <v>227</v>
      </c>
    </row>
    <row r="43" spans="1:6" ht="22.15" customHeight="1" x14ac:dyDescent="0.35">
      <c r="A43" s="174" t="s">
        <v>228</v>
      </c>
    </row>
    <row r="44" spans="1:6" ht="22.15" customHeight="1" x14ac:dyDescent="0.35"/>
    <row r="45" spans="1:6" ht="22.15" customHeight="1" x14ac:dyDescent="0.35">
      <c r="A45" s="174" t="s">
        <v>229</v>
      </c>
    </row>
    <row r="46" spans="1:6" ht="22.15" customHeight="1" x14ac:dyDescent="0.35"/>
    <row r="47" spans="1:6" ht="22.15" customHeight="1" x14ac:dyDescent="0.35">
      <c r="A47" s="174" t="s">
        <v>438</v>
      </c>
    </row>
    <row r="48" spans="1:6" ht="22.15" customHeight="1" x14ac:dyDescent="0.35">
      <c r="A48" s="174" t="s">
        <v>230</v>
      </c>
    </row>
    <row r="49" spans="1:11" ht="22.15" customHeight="1" x14ac:dyDescent="0.35"/>
    <row r="50" spans="1:11" s="182" customFormat="1" ht="22.15" customHeight="1" x14ac:dyDescent="0.35">
      <c r="A50" s="182" t="s">
        <v>231</v>
      </c>
      <c r="G50" s="183"/>
      <c r="H50" s="183"/>
      <c r="I50" s="183"/>
      <c r="K50" s="64"/>
    </row>
    <row r="51" spans="1:11" ht="22.15" customHeight="1" x14ac:dyDescent="0.35">
      <c r="A51" s="184"/>
    </row>
    <row r="52" spans="1:11" ht="22.15" customHeight="1" x14ac:dyDescent="0.35">
      <c r="A52" s="174" t="s">
        <v>232</v>
      </c>
    </row>
    <row r="53" spans="1:11" ht="22.15" customHeight="1" x14ac:dyDescent="0.35">
      <c r="A53" s="184"/>
    </row>
    <row r="54" spans="1:11" ht="22.15" customHeight="1" x14ac:dyDescent="0.35">
      <c r="A54" s="182" t="s">
        <v>233</v>
      </c>
      <c r="B54" s="182"/>
      <c r="C54" s="182"/>
      <c r="D54" s="182"/>
    </row>
    <row r="55" spans="1:11" ht="22.15" customHeight="1" x14ac:dyDescent="0.35">
      <c r="A55" s="184"/>
    </row>
    <row r="56" spans="1:11" ht="22.15" customHeight="1" x14ac:dyDescent="0.35">
      <c r="A56" s="174" t="s">
        <v>234</v>
      </c>
    </row>
    <row r="57" spans="1:11" ht="22.15" customHeight="1" x14ac:dyDescent="0.35">
      <c r="A57" s="185"/>
    </row>
    <row r="58" spans="1:11" ht="22.15" customHeight="1" x14ac:dyDescent="0.35">
      <c r="A58" s="182" t="s">
        <v>235</v>
      </c>
      <c r="B58" s="182"/>
      <c r="C58" s="182"/>
      <c r="D58" s="182"/>
    </row>
    <row r="59" spans="1:11" ht="22.15" customHeight="1" x14ac:dyDescent="0.35">
      <c r="A59" s="184"/>
    </row>
    <row r="60" spans="1:11" ht="22.15" customHeight="1" x14ac:dyDescent="0.35">
      <c r="A60" s="174" t="s">
        <v>236</v>
      </c>
    </row>
    <row r="61" spans="1:11" ht="22.15" customHeight="1" x14ac:dyDescent="0.35">
      <c r="A61" s="184"/>
    </row>
    <row r="62" spans="1:11" ht="22.15" customHeight="1" x14ac:dyDescent="0.35">
      <c r="A62" s="182" t="s">
        <v>237</v>
      </c>
      <c r="B62" s="182"/>
      <c r="C62" s="182"/>
      <c r="D62" s="182"/>
    </row>
    <row r="63" spans="1:11" ht="22.15" customHeight="1" x14ac:dyDescent="0.35">
      <c r="A63" s="182" t="s">
        <v>238</v>
      </c>
      <c r="B63" s="182"/>
      <c r="C63" s="182"/>
      <c r="D63" s="182"/>
    </row>
    <row r="64" spans="1:11" ht="22.15" customHeight="1" x14ac:dyDescent="0.35">
      <c r="A64" s="174" t="s">
        <v>239</v>
      </c>
    </row>
    <row r="65" spans="1:9" ht="22.15" customHeight="1" x14ac:dyDescent="0.35">
      <c r="A65" s="174" t="s">
        <v>240</v>
      </c>
    </row>
    <row r="66" spans="1:9" ht="22.15" customHeight="1" x14ac:dyDescent="0.35"/>
    <row r="67" spans="1:9" ht="22.15" customHeight="1" x14ac:dyDescent="0.35">
      <c r="A67" s="182" t="s">
        <v>241</v>
      </c>
    </row>
    <row r="68" spans="1:9" ht="22.15" customHeight="1" x14ac:dyDescent="0.35">
      <c r="A68" s="174" t="s">
        <v>242</v>
      </c>
    </row>
    <row r="69" spans="1:9" ht="22.15" customHeight="1" x14ac:dyDescent="0.35"/>
    <row r="70" spans="1:9" ht="22.15" customHeight="1" x14ac:dyDescent="0.35"/>
    <row r="71" spans="1:9" ht="22.15" customHeight="1" x14ac:dyDescent="0.35">
      <c r="A71" s="182" t="s">
        <v>243</v>
      </c>
      <c r="B71" s="182"/>
      <c r="C71" s="182"/>
      <c r="D71" s="182"/>
    </row>
    <row r="72" spans="1:9" ht="22.15" customHeight="1" x14ac:dyDescent="0.35">
      <c r="A72" s="174" t="s">
        <v>244</v>
      </c>
    </row>
    <row r="73" spans="1:9" ht="22.15" customHeight="1" x14ac:dyDescent="0.35"/>
    <row r="74" spans="1:9" ht="22.15" customHeight="1" x14ac:dyDescent="0.35">
      <c r="A74" s="182" t="s">
        <v>245</v>
      </c>
      <c r="B74" s="182"/>
      <c r="C74" s="182"/>
      <c r="D74" s="182"/>
    </row>
    <row r="75" spans="1:9" ht="22.15" customHeight="1" x14ac:dyDescent="0.35">
      <c r="A75" s="182" t="s">
        <v>246</v>
      </c>
      <c r="B75" s="182"/>
      <c r="C75" s="182"/>
      <c r="D75" s="182"/>
    </row>
    <row r="76" spans="1:9" ht="22.15" customHeight="1" x14ac:dyDescent="0.35">
      <c r="A76" s="174" t="s">
        <v>247</v>
      </c>
      <c r="G76" s="174"/>
      <c r="H76" s="174"/>
      <c r="I76" s="174"/>
    </row>
    <row r="77" spans="1:9" ht="22.15" customHeight="1" x14ac:dyDescent="0.35">
      <c r="A77" s="174" t="s">
        <v>439</v>
      </c>
      <c r="G77" s="174"/>
      <c r="H77" s="174"/>
      <c r="I77" s="174"/>
    </row>
    <row r="78" spans="1:9" ht="22.15" customHeight="1" x14ac:dyDescent="0.35"/>
    <row r="79" spans="1:9" ht="22.15" customHeight="1" x14ac:dyDescent="0.35">
      <c r="A79" s="182" t="s">
        <v>248</v>
      </c>
      <c r="B79" s="182"/>
      <c r="C79" s="182"/>
      <c r="D79" s="182"/>
    </row>
    <row r="80" spans="1:9" ht="22.15" customHeight="1" x14ac:dyDescent="0.35">
      <c r="A80" s="174" t="s">
        <v>249</v>
      </c>
      <c r="G80" s="174"/>
      <c r="H80" s="174"/>
      <c r="I80" s="174"/>
    </row>
    <row r="81" spans="1:11" ht="22.15" customHeight="1" x14ac:dyDescent="0.35">
      <c r="A81" s="185"/>
    </row>
    <row r="82" spans="1:11" ht="22.15" customHeight="1" x14ac:dyDescent="0.35">
      <c r="A82" s="182" t="s">
        <v>250</v>
      </c>
      <c r="B82" s="182"/>
      <c r="C82" s="182"/>
      <c r="D82" s="182"/>
    </row>
    <row r="83" spans="1:11" ht="22.15" customHeight="1" x14ac:dyDescent="0.35">
      <c r="A83" s="174" t="s">
        <v>251</v>
      </c>
      <c r="G83" s="174"/>
      <c r="H83" s="174"/>
      <c r="I83" s="174"/>
    </row>
    <row r="84" spans="1:11" ht="22.15" customHeight="1" x14ac:dyDescent="0.35"/>
    <row r="85" spans="1:11" ht="22.15" customHeight="1" x14ac:dyDescent="0.35">
      <c r="A85" s="182" t="s">
        <v>252</v>
      </c>
    </row>
    <row r="86" spans="1:11" ht="22.15" customHeight="1" x14ac:dyDescent="0.35">
      <c r="A86" s="174" t="s">
        <v>271</v>
      </c>
      <c r="G86" s="174"/>
      <c r="H86" s="174"/>
      <c r="I86" s="174"/>
    </row>
    <row r="87" spans="1:11" ht="22.15" customHeight="1" x14ac:dyDescent="0.35">
      <c r="A87" s="186"/>
      <c r="G87" s="174"/>
      <c r="H87" s="174"/>
      <c r="I87" s="174"/>
    </row>
    <row r="88" spans="1:11" ht="22.15" customHeight="1" x14ac:dyDescent="0.35">
      <c r="A88" s="174" t="s">
        <v>272</v>
      </c>
      <c r="G88" s="174"/>
      <c r="H88" s="174"/>
      <c r="I88" s="174"/>
    </row>
    <row r="89" spans="1:11" ht="22.15" customHeight="1" x14ac:dyDescent="0.35">
      <c r="A89" s="186"/>
    </row>
    <row r="90" spans="1:11" ht="22.15" customHeight="1" x14ac:dyDescent="0.35">
      <c r="A90" s="174" t="s">
        <v>440</v>
      </c>
      <c r="G90" s="174"/>
      <c r="H90" s="174"/>
      <c r="I90" s="174"/>
    </row>
    <row r="91" spans="1:11" ht="22.15" customHeight="1" x14ac:dyDescent="0.35">
      <c r="A91" s="186"/>
    </row>
    <row r="92" spans="1:11" ht="22.15" customHeight="1" x14ac:dyDescent="0.35">
      <c r="A92" s="174" t="s">
        <v>441</v>
      </c>
      <c r="G92" s="174"/>
      <c r="H92" s="174"/>
      <c r="I92" s="174"/>
    </row>
    <row r="93" spans="1:11" ht="22.15" customHeight="1" x14ac:dyDescent="0.35">
      <c r="A93" s="174" t="s">
        <v>388</v>
      </c>
      <c r="G93" s="174"/>
      <c r="H93" s="174"/>
      <c r="I93" s="174"/>
    </row>
    <row r="94" spans="1:11" ht="22.15" customHeight="1" x14ac:dyDescent="0.35">
      <c r="A94" s="187"/>
      <c r="B94" s="187"/>
      <c r="C94" s="187"/>
      <c r="D94" s="187"/>
      <c r="E94" s="187"/>
      <c r="F94" s="187"/>
      <c r="G94" s="187"/>
    </row>
    <row r="95" spans="1:11" ht="22.15" customHeight="1" x14ac:dyDescent="0.35">
      <c r="A95" s="187"/>
      <c r="B95" s="187"/>
      <c r="C95" s="187"/>
      <c r="D95" s="187"/>
      <c r="E95" s="187"/>
      <c r="F95" s="187"/>
      <c r="G95" s="187"/>
    </row>
    <row r="96" spans="1:11" s="182" customFormat="1" ht="22.15" customHeight="1" x14ac:dyDescent="0.35">
      <c r="A96" s="182" t="s">
        <v>253</v>
      </c>
      <c r="K96" s="64"/>
    </row>
    <row r="97" spans="1:11" ht="22.15" customHeight="1" x14ac:dyDescent="0.35">
      <c r="A97" s="184"/>
      <c r="G97" s="174"/>
      <c r="H97" s="174"/>
      <c r="I97" s="174"/>
    </row>
    <row r="98" spans="1:11" ht="22.15" customHeight="1" x14ac:dyDescent="0.35">
      <c r="A98" s="174" t="s">
        <v>442</v>
      </c>
      <c r="G98" s="174"/>
      <c r="H98" s="174"/>
      <c r="I98" s="174"/>
    </row>
    <row r="99" spans="1:11" ht="22.15" customHeight="1" x14ac:dyDescent="0.35">
      <c r="G99" s="174"/>
      <c r="H99" s="174"/>
      <c r="I99" s="174"/>
    </row>
    <row r="100" spans="1:11" ht="22.15" customHeight="1" x14ac:dyDescent="0.35">
      <c r="A100" s="174" t="s">
        <v>274</v>
      </c>
      <c r="G100" s="174"/>
      <c r="H100" s="174"/>
      <c r="I100" s="174"/>
    </row>
    <row r="101" spans="1:11" ht="22.15" customHeight="1" x14ac:dyDescent="0.35">
      <c r="G101" s="174"/>
      <c r="H101" s="174"/>
      <c r="I101" s="174"/>
    </row>
    <row r="102" spans="1:11" ht="22.15" customHeight="1" x14ac:dyDescent="0.35">
      <c r="A102" s="174" t="s">
        <v>275</v>
      </c>
      <c r="G102" s="174"/>
      <c r="H102" s="174"/>
      <c r="I102" s="174"/>
    </row>
    <row r="103" spans="1:11" ht="22.15" customHeight="1" x14ac:dyDescent="0.35">
      <c r="G103" s="174"/>
      <c r="H103" s="174"/>
      <c r="I103" s="174"/>
    </row>
    <row r="104" spans="1:11" ht="22.15" customHeight="1" x14ac:dyDescent="0.35">
      <c r="A104" s="174" t="s">
        <v>276</v>
      </c>
      <c r="G104" s="174"/>
      <c r="H104" s="174"/>
      <c r="I104" s="174"/>
    </row>
    <row r="105" spans="1:11" ht="22.15" customHeight="1" x14ac:dyDescent="0.35">
      <c r="G105" s="174"/>
      <c r="H105" s="174"/>
      <c r="I105" s="174"/>
    </row>
    <row r="106" spans="1:11" ht="22.15" customHeight="1" x14ac:dyDescent="0.35">
      <c r="A106" s="174" t="s">
        <v>277</v>
      </c>
      <c r="G106" s="174"/>
      <c r="H106" s="174"/>
      <c r="I106" s="174"/>
    </row>
    <row r="107" spans="1:11" ht="22.15" customHeight="1" x14ac:dyDescent="0.35">
      <c r="G107" s="174"/>
      <c r="H107" s="174"/>
      <c r="I107" s="174"/>
    </row>
    <row r="108" spans="1:11" ht="22.15" customHeight="1" x14ac:dyDescent="0.35">
      <c r="A108" s="174" t="s">
        <v>278</v>
      </c>
      <c r="G108" s="174"/>
      <c r="H108" s="174"/>
      <c r="I108" s="174"/>
    </row>
    <row r="109" spans="1:11" ht="22.15" customHeight="1" x14ac:dyDescent="0.35">
      <c r="A109" s="185"/>
    </row>
    <row r="110" spans="1:11" s="182" customFormat="1" ht="22.15" customHeight="1" x14ac:dyDescent="0.35">
      <c r="A110" s="182" t="s">
        <v>273</v>
      </c>
      <c r="K110" s="64"/>
    </row>
    <row r="111" spans="1:11" ht="22.15" customHeight="1" x14ac:dyDescent="0.35">
      <c r="A111" s="174" t="s">
        <v>254</v>
      </c>
      <c r="G111" s="174"/>
      <c r="H111" s="174"/>
      <c r="I111" s="174"/>
    </row>
    <row r="112" spans="1:11" ht="22.15" customHeight="1" x14ac:dyDescent="0.35">
      <c r="A112" s="174" t="s">
        <v>255</v>
      </c>
      <c r="G112" s="174"/>
      <c r="H112" s="174"/>
      <c r="I112" s="174"/>
    </row>
    <row r="113" spans="1:11" ht="22.15" customHeight="1" x14ac:dyDescent="0.35">
      <c r="A113" s="174" t="s">
        <v>256</v>
      </c>
      <c r="G113" s="174"/>
      <c r="H113" s="174"/>
      <c r="I113" s="174"/>
    </row>
    <row r="114" spans="1:11" ht="22.15" customHeight="1" x14ac:dyDescent="0.35">
      <c r="A114" s="185"/>
    </row>
    <row r="115" spans="1:11" s="182" customFormat="1" ht="22.15" customHeight="1" x14ac:dyDescent="0.35">
      <c r="A115" s="182" t="s">
        <v>279</v>
      </c>
      <c r="K115" s="64"/>
    </row>
    <row r="116" spans="1:11" ht="22.15" customHeight="1" x14ac:dyDescent="0.35">
      <c r="A116" s="174" t="s">
        <v>280</v>
      </c>
      <c r="G116" s="174"/>
      <c r="H116" s="174"/>
      <c r="I116" s="174"/>
    </row>
    <row r="117" spans="1:11" ht="22.15" customHeight="1" x14ac:dyDescent="0.35">
      <c r="A117" s="174" t="s">
        <v>443</v>
      </c>
      <c r="G117" s="174"/>
      <c r="H117" s="174"/>
      <c r="I117" s="174"/>
    </row>
    <row r="118" spans="1:11" ht="22.15" customHeight="1" x14ac:dyDescent="0.35">
      <c r="A118" s="174" t="s">
        <v>445</v>
      </c>
      <c r="G118" s="174"/>
      <c r="H118" s="174"/>
      <c r="I118" s="174"/>
    </row>
    <row r="119" spans="1:11" ht="22.15" customHeight="1" x14ac:dyDescent="0.35">
      <c r="A119" s="174" t="s">
        <v>444</v>
      </c>
      <c r="G119" s="174"/>
      <c r="H119" s="174"/>
      <c r="I119" s="174"/>
    </row>
    <row r="120" spans="1:11" ht="22.15" customHeight="1" x14ac:dyDescent="0.35">
      <c r="A120" s="174" t="s">
        <v>74</v>
      </c>
      <c r="G120" s="174"/>
      <c r="H120" s="174"/>
      <c r="I120" s="174"/>
    </row>
    <row r="121" spans="1:11" s="182" customFormat="1" ht="22.15" customHeight="1" x14ac:dyDescent="0.35">
      <c r="A121" s="185"/>
      <c r="K121" s="64"/>
    </row>
    <row r="122" spans="1:11" s="182" customFormat="1" ht="22.15" customHeight="1" x14ac:dyDescent="0.35">
      <c r="A122" s="182" t="s">
        <v>257</v>
      </c>
      <c r="K122" s="64"/>
    </row>
    <row r="123" spans="1:11" ht="22.15" customHeight="1" x14ac:dyDescent="0.35">
      <c r="A123" s="174" t="s">
        <v>258</v>
      </c>
      <c r="G123" s="174"/>
      <c r="H123" s="174"/>
      <c r="I123" s="174"/>
    </row>
    <row r="124" spans="1:11" ht="22.15" customHeight="1" x14ac:dyDescent="0.35">
      <c r="A124" s="174" t="s">
        <v>259</v>
      </c>
      <c r="G124" s="174"/>
      <c r="H124" s="174"/>
      <c r="I124" s="174"/>
    </row>
    <row r="125" spans="1:11" ht="22.15" customHeight="1" x14ac:dyDescent="0.35"/>
    <row r="126" spans="1:11" ht="22.15" customHeight="1" x14ac:dyDescent="0.35"/>
    <row r="127" spans="1:11" ht="22.15" customHeight="1" x14ac:dyDescent="0.35"/>
    <row r="128" spans="1:11" s="182" customFormat="1" ht="22.15" customHeight="1" x14ac:dyDescent="0.35">
      <c r="A128" s="182" t="s">
        <v>260</v>
      </c>
      <c r="K128" s="64"/>
    </row>
    <row r="129" spans="1:11" ht="22.15" customHeight="1" x14ac:dyDescent="0.35">
      <c r="A129" s="174" t="s">
        <v>281</v>
      </c>
      <c r="G129" s="174"/>
      <c r="H129" s="174"/>
      <c r="I129" s="174"/>
    </row>
    <row r="130" spans="1:11" ht="22.15" customHeight="1" x14ac:dyDescent="0.35">
      <c r="A130" s="174" t="s">
        <v>282</v>
      </c>
      <c r="G130" s="174"/>
      <c r="H130" s="174"/>
      <c r="I130" s="174"/>
    </row>
    <row r="131" spans="1:11" ht="22.15" customHeight="1" x14ac:dyDescent="0.35">
      <c r="G131" s="174"/>
      <c r="H131" s="174"/>
      <c r="I131" s="174"/>
    </row>
    <row r="132" spans="1:11" ht="22.15" customHeight="1" x14ac:dyDescent="0.35">
      <c r="G132" s="174"/>
      <c r="H132" s="174"/>
      <c r="I132" s="174"/>
    </row>
    <row r="133" spans="1:11" ht="22.15" customHeight="1" x14ac:dyDescent="0.35"/>
    <row r="134" spans="1:11" ht="22.15" customHeight="1" x14ac:dyDescent="0.35"/>
    <row r="135" spans="1:11" ht="22.15" customHeight="1" x14ac:dyDescent="0.35"/>
    <row r="136" spans="1:11" ht="22.15" customHeight="1" x14ac:dyDescent="0.35"/>
    <row r="137" spans="1:11" ht="22.15" customHeight="1" x14ac:dyDescent="0.35"/>
    <row r="138" spans="1:11" ht="22.15" customHeight="1" x14ac:dyDescent="0.35"/>
    <row r="139" spans="1:11" ht="22.15" customHeight="1" x14ac:dyDescent="0.35">
      <c r="A139" s="182" t="s">
        <v>19</v>
      </c>
      <c r="B139" s="182" t="s">
        <v>20</v>
      </c>
      <c r="C139" s="188"/>
      <c r="D139" s="188"/>
    </row>
    <row r="140" spans="1:11" ht="22.15" customHeight="1" x14ac:dyDescent="0.35">
      <c r="K140" s="13"/>
    </row>
    <row r="141" spans="1:11" ht="22.15" customHeight="1" x14ac:dyDescent="0.35">
      <c r="A141" s="174" t="s">
        <v>446</v>
      </c>
      <c r="K141" s="13"/>
    </row>
    <row r="142" spans="1:11" ht="22.15" customHeight="1" x14ac:dyDescent="0.35">
      <c r="K142" s="13"/>
    </row>
    <row r="143" spans="1:11" ht="22.15" customHeight="1" x14ac:dyDescent="0.35">
      <c r="A143" s="265" t="s">
        <v>4</v>
      </c>
      <c r="B143" s="266"/>
      <c r="C143" s="266"/>
      <c r="D143" s="266"/>
      <c r="E143" s="266"/>
      <c r="F143" s="267"/>
      <c r="G143" s="192">
        <v>2025</v>
      </c>
      <c r="H143" s="193"/>
      <c r="I143" s="192">
        <v>2024</v>
      </c>
      <c r="K143" s="13"/>
    </row>
    <row r="144" spans="1:11" ht="22.15" customHeight="1" x14ac:dyDescent="0.35">
      <c r="A144" s="194" t="s">
        <v>409</v>
      </c>
      <c r="B144" s="190"/>
      <c r="C144" s="195"/>
      <c r="D144" s="195"/>
      <c r="E144" s="196"/>
      <c r="F144" s="197"/>
      <c r="G144" s="198">
        <v>170000</v>
      </c>
      <c r="H144" s="198"/>
      <c r="I144" s="198">
        <f>100000+50000+20000</f>
        <v>170000</v>
      </c>
      <c r="K144" s="13"/>
    </row>
    <row r="145" spans="1:11" ht="22.15" customHeight="1" x14ac:dyDescent="0.35">
      <c r="A145" s="194" t="s">
        <v>410</v>
      </c>
      <c r="B145" s="190"/>
      <c r="C145" s="189"/>
      <c r="D145" s="190"/>
      <c r="E145" s="190"/>
      <c r="F145" s="191"/>
      <c r="G145" s="198">
        <v>2000</v>
      </c>
      <c r="H145" s="198"/>
      <c r="I145" s="198">
        <v>2000</v>
      </c>
      <c r="K145" s="13"/>
    </row>
    <row r="146" spans="1:11" ht="22.15" customHeight="1" x14ac:dyDescent="0.35">
      <c r="A146" s="268" t="s">
        <v>7</v>
      </c>
      <c r="B146" s="269"/>
      <c r="C146" s="269"/>
      <c r="D146" s="269"/>
      <c r="E146" s="269"/>
      <c r="F146" s="270"/>
      <c r="G146" s="11">
        <v>5795808.4199999999</v>
      </c>
      <c r="H146" s="11"/>
      <c r="I146" s="11">
        <v>2803286.08</v>
      </c>
      <c r="J146" s="175"/>
    </row>
    <row r="147" spans="1:11" ht="22.15" customHeight="1" x14ac:dyDescent="0.35">
      <c r="A147" s="194" t="s">
        <v>351</v>
      </c>
      <c r="B147" s="199"/>
      <c r="C147" s="199"/>
      <c r="D147" s="199"/>
      <c r="E147" s="201"/>
      <c r="F147" s="200"/>
      <c r="G147" s="11">
        <v>0</v>
      </c>
      <c r="H147" s="11"/>
      <c r="I147" s="11">
        <v>0</v>
      </c>
      <c r="J147" s="175"/>
    </row>
    <row r="148" spans="1:11" ht="22.15" customHeight="1" x14ac:dyDescent="0.35">
      <c r="A148" s="268" t="s">
        <v>411</v>
      </c>
      <c r="B148" s="269"/>
      <c r="C148" s="269"/>
      <c r="D148" s="269"/>
      <c r="E148" s="269"/>
      <c r="F148" s="270"/>
      <c r="G148" s="11">
        <v>1260853.76</v>
      </c>
      <c r="H148" s="11"/>
      <c r="I148" s="11">
        <v>3080554.32</v>
      </c>
      <c r="J148" s="175"/>
    </row>
    <row r="149" spans="1:11" ht="22.15" customHeight="1" x14ac:dyDescent="0.35">
      <c r="A149" s="194" t="s">
        <v>352</v>
      </c>
      <c r="B149" s="199"/>
      <c r="C149" s="199"/>
      <c r="D149" s="199"/>
      <c r="E149" s="199"/>
      <c r="F149" s="200"/>
      <c r="G149" s="11">
        <v>11045249.140000001</v>
      </c>
      <c r="H149" s="11"/>
      <c r="I149" s="11">
        <v>5730015.0800000001</v>
      </c>
      <c r="J149" s="175"/>
    </row>
    <row r="150" spans="1:11" ht="22.15" customHeight="1" x14ac:dyDescent="0.35">
      <c r="A150" s="194" t="s">
        <v>353</v>
      </c>
      <c r="B150" s="199"/>
      <c r="C150" s="199"/>
      <c r="D150" s="199"/>
      <c r="E150" s="199"/>
      <c r="F150" s="200"/>
      <c r="G150" s="11">
        <v>0</v>
      </c>
      <c r="H150" s="11"/>
      <c r="I150" s="11">
        <v>0</v>
      </c>
      <c r="J150" s="175"/>
    </row>
    <row r="151" spans="1:11" ht="22.15" customHeight="1" x14ac:dyDescent="0.35">
      <c r="A151" s="194" t="s">
        <v>354</v>
      </c>
      <c r="B151" s="199"/>
      <c r="C151" s="199"/>
      <c r="D151" s="199"/>
      <c r="E151" s="199"/>
      <c r="F151" s="200"/>
      <c r="G151" s="11">
        <v>78820017.079999998</v>
      </c>
      <c r="H151" s="11"/>
      <c r="I151" s="11">
        <v>131130550.7</v>
      </c>
      <c r="J151" s="175"/>
    </row>
    <row r="152" spans="1:11" ht="22.15" customHeight="1" x14ac:dyDescent="0.35">
      <c r="A152" s="194" t="s">
        <v>355</v>
      </c>
      <c r="B152" s="199"/>
      <c r="C152" s="199"/>
      <c r="D152" s="199"/>
      <c r="E152" s="199"/>
      <c r="F152" s="200"/>
      <c r="G152" s="11">
        <v>0</v>
      </c>
      <c r="H152" s="11"/>
      <c r="I152" s="11">
        <v>877728.69</v>
      </c>
      <c r="J152" s="175"/>
    </row>
    <row r="153" spans="1:11" ht="43.5" customHeight="1" x14ac:dyDescent="0.35">
      <c r="A153" s="271" t="s">
        <v>480</v>
      </c>
      <c r="B153" s="272"/>
      <c r="C153" s="272"/>
      <c r="D153" s="272"/>
      <c r="E153" s="272"/>
      <c r="F153" s="273"/>
      <c r="G153" s="11">
        <v>73427.94</v>
      </c>
      <c r="H153" s="202"/>
      <c r="I153" s="11">
        <v>230008.17</v>
      </c>
      <c r="J153" s="175"/>
    </row>
    <row r="154" spans="1:11" ht="22.15" customHeight="1" x14ac:dyDescent="0.35">
      <c r="A154" s="271" t="s">
        <v>1</v>
      </c>
      <c r="B154" s="272"/>
      <c r="C154" s="272"/>
      <c r="D154" s="272"/>
      <c r="E154" s="272"/>
      <c r="F154" s="273"/>
      <c r="G154" s="202">
        <f>SUM(G144:G153)</f>
        <v>97167356.340000004</v>
      </c>
      <c r="H154" s="202"/>
      <c r="I154" s="202">
        <f>SUM(I144:I153)</f>
        <v>144024143.03999999</v>
      </c>
    </row>
    <row r="155" spans="1:11" ht="22.15" customHeight="1" x14ac:dyDescent="0.35">
      <c r="I155" s="85"/>
    </row>
    <row r="156" spans="1:11" ht="22.15" customHeight="1" x14ac:dyDescent="0.35"/>
    <row r="157" spans="1:11" ht="22.15" customHeight="1" x14ac:dyDescent="0.35"/>
    <row r="158" spans="1:11" ht="22.15" customHeight="1" x14ac:dyDescent="0.35">
      <c r="A158" s="182" t="s">
        <v>17</v>
      </c>
      <c r="B158" s="182" t="s">
        <v>18</v>
      </c>
      <c r="C158" s="182"/>
      <c r="E158" s="182"/>
      <c r="F158" s="188"/>
      <c r="G158" s="203"/>
      <c r="H158" s="203"/>
      <c r="I158" s="203"/>
    </row>
    <row r="159" spans="1:11" ht="22.15" customHeight="1" x14ac:dyDescent="0.35"/>
    <row r="160" spans="1:11" ht="22.15" customHeight="1" x14ac:dyDescent="0.35"/>
    <row r="161" spans="1:11" ht="22.15" customHeight="1" x14ac:dyDescent="0.35">
      <c r="A161" s="274" t="s">
        <v>447</v>
      </c>
      <c r="B161" s="274"/>
      <c r="C161" s="274"/>
      <c r="D161" s="274"/>
      <c r="E161" s="274"/>
      <c r="F161" s="274"/>
      <c r="G161" s="274"/>
      <c r="H161" s="274"/>
      <c r="I161" s="274"/>
    </row>
    <row r="162" spans="1:11" ht="22.15" customHeight="1" x14ac:dyDescent="0.35">
      <c r="A162" s="182" t="s">
        <v>317</v>
      </c>
      <c r="B162" s="182"/>
      <c r="C162" s="182"/>
      <c r="D162" s="182"/>
      <c r="E162" s="182"/>
    </row>
    <row r="163" spans="1:11" ht="22.15" customHeight="1" x14ac:dyDescent="0.35"/>
    <row r="164" spans="1:11" ht="22.15" customHeight="1" x14ac:dyDescent="0.35">
      <c r="A164" s="265" t="s">
        <v>0</v>
      </c>
      <c r="B164" s="266"/>
      <c r="C164" s="266"/>
      <c r="D164" s="266"/>
      <c r="E164" s="266"/>
      <c r="F164" s="267"/>
      <c r="G164" s="192">
        <v>2025</v>
      </c>
      <c r="H164" s="204"/>
      <c r="I164" s="192">
        <v>2024</v>
      </c>
      <c r="K164" s="13"/>
    </row>
    <row r="165" spans="1:11" ht="22.15" customHeight="1" x14ac:dyDescent="0.35">
      <c r="A165" s="194" t="s">
        <v>8</v>
      </c>
      <c r="B165" s="190"/>
      <c r="C165" s="190"/>
      <c r="D165" s="190"/>
      <c r="E165" s="190"/>
      <c r="F165" s="191"/>
      <c r="G165" s="198">
        <f>125923.3+388707.84</f>
        <v>514631.14</v>
      </c>
      <c r="H165" s="205"/>
      <c r="I165" s="198">
        <f>143706.13+873392.98</f>
        <v>1017099.11</v>
      </c>
      <c r="K165" s="13"/>
    </row>
    <row r="166" spans="1:11" ht="22.15" customHeight="1" x14ac:dyDescent="0.35">
      <c r="A166" s="194" t="s">
        <v>9</v>
      </c>
      <c r="B166" s="190"/>
      <c r="C166" s="190"/>
      <c r="D166" s="190"/>
      <c r="E166" s="190"/>
      <c r="F166" s="191"/>
      <c r="G166" s="198">
        <v>314296.71000000002</v>
      </c>
      <c r="H166" s="205"/>
      <c r="I166" s="198">
        <v>258796.71</v>
      </c>
      <c r="K166" s="13"/>
    </row>
    <row r="167" spans="1:11" ht="22.15" customHeight="1" x14ac:dyDescent="0.35">
      <c r="A167" s="194" t="s">
        <v>10</v>
      </c>
      <c r="B167" s="190"/>
      <c r="C167" s="190"/>
      <c r="D167" s="190"/>
      <c r="E167" s="190"/>
      <c r="F167" s="191"/>
      <c r="G167" s="198">
        <f>35895.33+30150</f>
        <v>66045.33</v>
      </c>
      <c r="H167" s="205"/>
      <c r="I167" s="198">
        <v>88107.839999999997</v>
      </c>
      <c r="K167" s="13"/>
    </row>
    <row r="168" spans="1:11" ht="22.15" customHeight="1" x14ac:dyDescent="0.35">
      <c r="A168" s="194" t="s">
        <v>11</v>
      </c>
      <c r="B168" s="190"/>
      <c r="C168" s="190"/>
      <c r="D168" s="190"/>
      <c r="E168" s="190"/>
      <c r="F168" s="191"/>
      <c r="G168" s="198">
        <f>49116.23+420479.67+141800</f>
        <v>611395.89999999991</v>
      </c>
      <c r="H168" s="205"/>
      <c r="I168" s="198">
        <f>44650+222808.01+450898.46+486547.77</f>
        <v>1204904.24</v>
      </c>
      <c r="K168" s="13"/>
    </row>
    <row r="169" spans="1:11" ht="22.15" hidden="1" customHeight="1" x14ac:dyDescent="0.35">
      <c r="A169" s="194" t="s">
        <v>334</v>
      </c>
      <c r="B169" s="190"/>
      <c r="C169" s="190"/>
      <c r="D169" s="190"/>
      <c r="E169" s="190"/>
      <c r="F169" s="191"/>
      <c r="G169" s="198">
        <v>0</v>
      </c>
      <c r="H169" s="205"/>
      <c r="I169" s="198">
        <v>0</v>
      </c>
      <c r="K169" s="13"/>
    </row>
    <row r="170" spans="1:11" s="182" customFormat="1" ht="22.15" customHeight="1" x14ac:dyDescent="0.35">
      <c r="A170" s="189" t="s">
        <v>155</v>
      </c>
      <c r="B170" s="190"/>
      <c r="C170" s="190"/>
      <c r="D170" s="190"/>
      <c r="E170" s="190"/>
      <c r="F170" s="191"/>
      <c r="G170" s="193">
        <f>SUM(G165:G168)</f>
        <v>1506369.08</v>
      </c>
      <c r="H170" s="204"/>
      <c r="I170" s="193">
        <f>SUM(I165:I169)</f>
        <v>2568907.9000000004</v>
      </c>
      <c r="K170" s="14"/>
    </row>
    <row r="171" spans="1:11" ht="22.15" customHeight="1" x14ac:dyDescent="0.35">
      <c r="A171" s="194" t="s">
        <v>145</v>
      </c>
      <c r="B171" s="199"/>
      <c r="C171" s="199"/>
      <c r="D171" s="199"/>
      <c r="E171" s="199"/>
      <c r="F171" s="200"/>
      <c r="G171" s="206">
        <v>-49116.23</v>
      </c>
      <c r="H171" s="205"/>
      <c r="I171" s="206">
        <v>-222808.01</v>
      </c>
      <c r="J171" s="12"/>
      <c r="K171" s="13"/>
    </row>
    <row r="172" spans="1:11" s="182" customFormat="1" ht="22.15" customHeight="1" x14ac:dyDescent="0.35">
      <c r="A172" s="189" t="s">
        <v>156</v>
      </c>
      <c r="B172" s="190"/>
      <c r="C172" s="190"/>
      <c r="D172" s="190"/>
      <c r="E172" s="190"/>
      <c r="F172" s="191"/>
      <c r="G172" s="193">
        <f>SUM(G170:G171)</f>
        <v>1457252.85</v>
      </c>
      <c r="H172" s="204"/>
      <c r="I172" s="193">
        <f>SUM(I170:I171)</f>
        <v>2346099.8900000006</v>
      </c>
      <c r="K172" s="14"/>
    </row>
    <row r="173" spans="1:11" ht="22.15" customHeight="1" x14ac:dyDescent="0.35"/>
    <row r="174" spans="1:11" ht="22.15" customHeight="1" x14ac:dyDescent="0.35"/>
    <row r="175" spans="1:11" ht="22.15" customHeight="1" x14ac:dyDescent="0.35"/>
    <row r="176" spans="1:11" ht="22.15" customHeight="1" x14ac:dyDescent="0.35"/>
    <row r="177" spans="1:11" ht="22.15" customHeight="1" x14ac:dyDescent="0.35"/>
    <row r="178" spans="1:11" ht="22.15" customHeight="1" x14ac:dyDescent="0.35"/>
    <row r="179" spans="1:11" ht="22.15" customHeight="1" x14ac:dyDescent="0.35">
      <c r="A179" s="207" t="s">
        <v>12</v>
      </c>
      <c r="B179" s="196" t="s">
        <v>13</v>
      </c>
      <c r="C179" s="188"/>
      <c r="D179" s="188"/>
      <c r="E179" s="188"/>
      <c r="F179" s="188"/>
      <c r="G179" s="203"/>
      <c r="H179" s="203"/>
      <c r="I179" s="203"/>
    </row>
    <row r="180" spans="1:11" ht="22.15" customHeight="1" x14ac:dyDescent="0.35">
      <c r="A180" s="207"/>
      <c r="B180" s="196"/>
      <c r="C180" s="188"/>
      <c r="D180" s="188"/>
      <c r="E180" s="188"/>
      <c r="F180" s="188"/>
      <c r="G180" s="203"/>
      <c r="H180" s="203"/>
      <c r="I180" s="203"/>
    </row>
    <row r="181" spans="1:11" ht="22.15" customHeight="1" x14ac:dyDescent="0.35">
      <c r="A181" s="201" t="s">
        <v>448</v>
      </c>
      <c r="B181" s="201"/>
      <c r="C181" s="201"/>
      <c r="D181" s="201"/>
      <c r="E181" s="201"/>
      <c r="F181" s="201"/>
      <c r="G181" s="208"/>
      <c r="H181" s="208"/>
      <c r="I181" s="208"/>
      <c r="J181" s="201"/>
    </row>
    <row r="182" spans="1:11" ht="22.15" customHeight="1" x14ac:dyDescent="0.35"/>
    <row r="183" spans="1:11" s="182" customFormat="1" ht="22.15" customHeight="1" x14ac:dyDescent="0.35">
      <c r="A183" s="189" t="s">
        <v>0</v>
      </c>
      <c r="B183" s="190"/>
      <c r="C183" s="190"/>
      <c r="D183" s="190"/>
      <c r="E183" s="190"/>
      <c r="F183" s="191"/>
      <c r="G183" s="192">
        <v>2025</v>
      </c>
      <c r="H183" s="204"/>
      <c r="I183" s="192">
        <v>2024</v>
      </c>
      <c r="K183" s="14"/>
    </row>
    <row r="184" spans="1:11" ht="22.15" customHeight="1" x14ac:dyDescent="0.35">
      <c r="A184" s="194" t="s">
        <v>14</v>
      </c>
      <c r="B184" s="190"/>
      <c r="C184" s="190"/>
      <c r="D184" s="190"/>
      <c r="E184" s="190"/>
      <c r="F184" s="191"/>
      <c r="G184" s="198">
        <v>3159291.28</v>
      </c>
      <c r="H184" s="205"/>
      <c r="I184" s="198">
        <v>2535354.81</v>
      </c>
      <c r="K184" s="13"/>
    </row>
    <row r="185" spans="1:11" s="182" customFormat="1" ht="22.15" customHeight="1" x14ac:dyDescent="0.35">
      <c r="A185" s="189" t="s">
        <v>146</v>
      </c>
      <c r="B185" s="190"/>
      <c r="C185" s="190"/>
      <c r="D185" s="190"/>
      <c r="E185" s="190"/>
      <c r="F185" s="191"/>
      <c r="G185" s="193">
        <f>SUM(G184:G184)</f>
        <v>3159291.28</v>
      </c>
      <c r="H185" s="204"/>
      <c r="I185" s="193">
        <f>SUM(I184:I184)</f>
        <v>2535354.81</v>
      </c>
      <c r="J185" s="64"/>
      <c r="K185" s="14"/>
    </row>
    <row r="186" spans="1:11" ht="22.15" customHeight="1" x14ac:dyDescent="0.35"/>
    <row r="187" spans="1:11" ht="22.15" customHeight="1" x14ac:dyDescent="0.35"/>
    <row r="188" spans="1:11" ht="22.15" customHeight="1" x14ac:dyDescent="0.35"/>
    <row r="189" spans="1:11" ht="22.15" customHeight="1" x14ac:dyDescent="0.35">
      <c r="A189" s="182" t="s">
        <v>15</v>
      </c>
      <c r="B189" s="182" t="s">
        <v>16</v>
      </c>
      <c r="C189" s="188"/>
      <c r="D189" s="188"/>
      <c r="E189" s="188"/>
    </row>
    <row r="190" spans="1:11" ht="22.15" customHeight="1" x14ac:dyDescent="0.35"/>
    <row r="191" spans="1:11" ht="22.15" customHeight="1" x14ac:dyDescent="0.35">
      <c r="A191" s="201" t="s">
        <v>449</v>
      </c>
      <c r="B191" s="201"/>
      <c r="C191" s="201"/>
      <c r="D191" s="201"/>
      <c r="E191" s="201"/>
    </row>
    <row r="192" spans="1:11" ht="22.15" customHeight="1" x14ac:dyDescent="0.35"/>
    <row r="193" spans="1:12" s="182" customFormat="1" ht="22.15" customHeight="1" x14ac:dyDescent="0.35">
      <c r="A193" s="189" t="s">
        <v>0</v>
      </c>
      <c r="B193" s="190"/>
      <c r="C193" s="190"/>
      <c r="D193" s="190"/>
      <c r="E193" s="190"/>
      <c r="F193" s="191"/>
      <c r="G193" s="209">
        <v>2025</v>
      </c>
      <c r="H193" s="204"/>
      <c r="I193" s="209">
        <v>2024</v>
      </c>
      <c r="K193" s="14"/>
    </row>
    <row r="194" spans="1:12" s="182" customFormat="1" ht="22.15" customHeight="1" x14ac:dyDescent="0.35">
      <c r="A194" s="194" t="s">
        <v>25</v>
      </c>
      <c r="B194" s="190"/>
      <c r="C194" s="190"/>
      <c r="D194" s="190"/>
      <c r="E194" s="210"/>
      <c r="F194" s="191"/>
      <c r="G194" s="198">
        <v>5916</v>
      </c>
      <c r="H194" s="205"/>
      <c r="I194" s="198">
        <v>11832</v>
      </c>
      <c r="L194" s="174"/>
    </row>
    <row r="195" spans="1:12" ht="22.15" customHeight="1" x14ac:dyDescent="0.35">
      <c r="A195" s="194" t="s">
        <v>26</v>
      </c>
      <c r="B195" s="190"/>
      <c r="C195" s="190"/>
      <c r="D195" s="190"/>
      <c r="E195" s="190"/>
      <c r="F195" s="191"/>
      <c r="G195" s="198">
        <v>731573.12</v>
      </c>
      <c r="H195" s="205"/>
      <c r="I195" s="198">
        <v>326795.32</v>
      </c>
    </row>
    <row r="196" spans="1:12" ht="22.15" customHeight="1" x14ac:dyDescent="0.35">
      <c r="A196" s="194" t="s">
        <v>168</v>
      </c>
      <c r="B196" s="190"/>
      <c r="C196" s="190"/>
      <c r="D196" s="190"/>
      <c r="E196" s="190"/>
      <c r="F196" s="191"/>
      <c r="G196" s="198">
        <v>2706.8</v>
      </c>
      <c r="H196" s="205"/>
      <c r="I196" s="198">
        <v>2706.7</v>
      </c>
    </row>
    <row r="197" spans="1:12" ht="22.15" customHeight="1" x14ac:dyDescent="0.35">
      <c r="A197" s="194" t="s">
        <v>176</v>
      </c>
      <c r="B197" s="190"/>
      <c r="C197" s="190"/>
      <c r="D197" s="190"/>
      <c r="E197" s="190"/>
      <c r="F197" s="191"/>
      <c r="G197" s="198">
        <f>30859.03+4732544.76</f>
        <v>4763403.79</v>
      </c>
      <c r="H197" s="205"/>
      <c r="I197" s="198">
        <f>26389.5+1817560.96</f>
        <v>1843950.46</v>
      </c>
    </row>
    <row r="198" spans="1:12" ht="22.15" customHeight="1" x14ac:dyDescent="0.35">
      <c r="A198" s="189" t="s">
        <v>270</v>
      </c>
      <c r="B198" s="190"/>
      <c r="C198" s="190"/>
      <c r="D198" s="190"/>
      <c r="E198" s="210"/>
      <c r="F198" s="211"/>
      <c r="G198" s="193">
        <f>SUM(G194:G197)</f>
        <v>5503599.71</v>
      </c>
      <c r="H198" s="204"/>
      <c r="I198" s="193">
        <f>SUM(I194:I197)</f>
        <v>2185284.48</v>
      </c>
    </row>
    <row r="199" spans="1:12" ht="22.15" customHeight="1" x14ac:dyDescent="0.35">
      <c r="A199" s="196"/>
      <c r="B199" s="196"/>
      <c r="C199" s="196"/>
      <c r="D199" s="196"/>
      <c r="E199" s="196"/>
      <c r="F199" s="196"/>
      <c r="G199" s="204"/>
      <c r="H199" s="204"/>
      <c r="I199" s="204"/>
    </row>
    <row r="200" spans="1:12" ht="22.15" customHeight="1" x14ac:dyDescent="0.35"/>
    <row r="201" spans="1:12" ht="22.15" customHeight="1" x14ac:dyDescent="0.35"/>
    <row r="202" spans="1:12" ht="22.15" customHeight="1" x14ac:dyDescent="0.35">
      <c r="A202" s="182" t="s">
        <v>21</v>
      </c>
      <c r="B202" s="182" t="s">
        <v>22</v>
      </c>
      <c r="C202" s="182"/>
      <c r="D202" s="182"/>
      <c r="E202" s="182"/>
    </row>
    <row r="203" spans="1:12" ht="22.15" customHeight="1" x14ac:dyDescent="0.35">
      <c r="A203" s="182"/>
      <c r="B203" s="182"/>
      <c r="C203" s="182"/>
      <c r="D203" s="182"/>
      <c r="E203" s="182"/>
    </row>
    <row r="204" spans="1:12" ht="22.15" customHeight="1" x14ac:dyDescent="0.35">
      <c r="A204" s="182"/>
      <c r="B204" s="182"/>
      <c r="C204" s="182"/>
      <c r="D204" s="182"/>
      <c r="E204" s="182"/>
      <c r="K204" s="13"/>
    </row>
    <row r="205" spans="1:12" ht="22.15" customHeight="1" x14ac:dyDescent="0.35">
      <c r="A205" s="212" t="s">
        <v>330</v>
      </c>
      <c r="B205" s="212"/>
      <c r="C205" s="212"/>
      <c r="D205" s="212"/>
      <c r="E205" s="212"/>
      <c r="F205" s="213"/>
      <c r="G205" s="214"/>
      <c r="H205" s="214"/>
      <c r="I205" s="214"/>
      <c r="K205" s="174"/>
    </row>
    <row r="206" spans="1:12" s="182" customFormat="1" ht="22.15" customHeight="1" x14ac:dyDescent="0.35">
      <c r="A206" s="213" t="s">
        <v>356</v>
      </c>
      <c r="B206" s="213"/>
      <c r="C206" s="213"/>
      <c r="D206" s="213"/>
      <c r="E206" s="213"/>
      <c r="F206" s="213"/>
      <c r="G206" s="215"/>
      <c r="H206" s="215"/>
      <c r="I206" s="215"/>
      <c r="J206" s="216"/>
      <c r="K206" s="14"/>
    </row>
    <row r="207" spans="1:12" ht="22.15" customHeight="1" x14ac:dyDescent="0.35">
      <c r="A207" s="213" t="s">
        <v>450</v>
      </c>
      <c r="B207" s="213"/>
      <c r="C207" s="213"/>
      <c r="D207" s="213"/>
      <c r="E207" s="213"/>
      <c r="F207" s="213"/>
      <c r="G207" s="215"/>
      <c r="H207" s="215"/>
      <c r="I207" s="215"/>
    </row>
    <row r="208" spans="1:12" ht="22.15" customHeight="1" x14ac:dyDescent="0.35">
      <c r="A208" s="213"/>
      <c r="B208" s="213"/>
      <c r="C208" s="213"/>
      <c r="D208" s="213"/>
      <c r="E208" s="213"/>
      <c r="F208" s="213"/>
      <c r="G208" s="215"/>
      <c r="H208" s="215"/>
      <c r="I208" s="215"/>
      <c r="J208" s="217"/>
    </row>
    <row r="209" spans="1:9" ht="22.15" customHeight="1" x14ac:dyDescent="0.35">
      <c r="A209" s="189" t="s">
        <v>2</v>
      </c>
      <c r="B209" s="190"/>
      <c r="C209" s="190" t="s">
        <v>3</v>
      </c>
      <c r="D209" s="190"/>
      <c r="E209" s="190"/>
      <c r="F209" s="191"/>
      <c r="G209" s="209">
        <v>2025</v>
      </c>
      <c r="H209" s="204"/>
      <c r="I209" s="209">
        <v>2024</v>
      </c>
    </row>
    <row r="210" spans="1:9" ht="22.15" customHeight="1" x14ac:dyDescent="0.35">
      <c r="A210" s="194" t="s">
        <v>283</v>
      </c>
      <c r="B210" s="190"/>
      <c r="C210" s="190"/>
      <c r="D210" s="190"/>
      <c r="E210" s="218"/>
      <c r="F210" s="191"/>
      <c r="G210" s="198">
        <v>4386242.46</v>
      </c>
      <c r="H210" s="205"/>
      <c r="I210" s="198">
        <v>6600850.4100000001</v>
      </c>
    </row>
    <row r="211" spans="1:9" ht="22.15" customHeight="1" x14ac:dyDescent="0.35">
      <c r="A211" s="189" t="s">
        <v>23</v>
      </c>
      <c r="B211" s="190"/>
      <c r="C211" s="190"/>
      <c r="D211" s="190"/>
      <c r="E211" s="190"/>
      <c r="F211" s="191"/>
      <c r="G211" s="193">
        <f>+G210</f>
        <v>4386242.46</v>
      </c>
      <c r="H211" s="204"/>
      <c r="I211" s="193">
        <f>+I210</f>
        <v>6600850.4100000001</v>
      </c>
    </row>
    <row r="212" spans="1:9" ht="22.15" customHeight="1" x14ac:dyDescent="0.35"/>
    <row r="213" spans="1:9" ht="22.15" customHeight="1" x14ac:dyDescent="0.35"/>
    <row r="214" spans="1:9" ht="22.15" customHeight="1" x14ac:dyDescent="0.35"/>
    <row r="215" spans="1:9" ht="22.15" customHeight="1" x14ac:dyDescent="0.35">
      <c r="G215" s="219"/>
      <c r="H215" s="220"/>
      <c r="I215" s="219"/>
    </row>
    <row r="216" spans="1:9" ht="22.15" customHeight="1" x14ac:dyDescent="0.35">
      <c r="A216" s="188"/>
      <c r="B216" s="188"/>
      <c r="C216" s="188"/>
      <c r="D216" s="188"/>
      <c r="E216" s="188"/>
      <c r="F216" s="188"/>
      <c r="G216" s="183"/>
      <c r="H216" s="183"/>
      <c r="I216" s="183"/>
    </row>
    <row r="217" spans="1:9" ht="22.15" customHeight="1" x14ac:dyDescent="0.35"/>
    <row r="218" spans="1:9" ht="22.15" customHeight="1" x14ac:dyDescent="0.35">
      <c r="A218" s="182"/>
      <c r="B218" s="182"/>
      <c r="C218" s="182"/>
      <c r="D218" s="182"/>
      <c r="E218" s="182"/>
      <c r="F218" s="182"/>
      <c r="G218" s="183"/>
      <c r="H218" s="183"/>
      <c r="I218" s="183"/>
    </row>
    <row r="219" spans="1:9" ht="22.15" customHeight="1" x14ac:dyDescent="0.35"/>
    <row r="220" spans="1:9" ht="22.15" customHeight="1" x14ac:dyDescent="0.35"/>
    <row r="221" spans="1:9" ht="22.15" customHeight="1" x14ac:dyDescent="0.35"/>
    <row r="222" spans="1:9" ht="22.15" customHeight="1" x14ac:dyDescent="0.35"/>
    <row r="223" spans="1:9" ht="22.15" customHeight="1" x14ac:dyDescent="0.35"/>
    <row r="224" spans="1:9" ht="22.15" customHeight="1" x14ac:dyDescent="0.35"/>
    <row r="225" spans="1:11" ht="22.15" customHeight="1" x14ac:dyDescent="0.35"/>
    <row r="226" spans="1:11" ht="22.15" customHeight="1" x14ac:dyDescent="0.35"/>
    <row r="227" spans="1:11" ht="22.15" customHeight="1" x14ac:dyDescent="0.35"/>
    <row r="228" spans="1:11" ht="22.15" customHeight="1" x14ac:dyDescent="0.35"/>
    <row r="229" spans="1:11" ht="22.15" customHeight="1" x14ac:dyDescent="0.35"/>
    <row r="230" spans="1:11" ht="22.15" customHeight="1" x14ac:dyDescent="0.35"/>
    <row r="231" spans="1:11" s="182" customFormat="1" ht="22.15" customHeight="1" x14ac:dyDescent="0.35">
      <c r="A231" s="182" t="s">
        <v>24</v>
      </c>
      <c r="B231" s="182" t="s">
        <v>27</v>
      </c>
      <c r="F231" s="207"/>
      <c r="G231" s="175"/>
      <c r="H231" s="175"/>
      <c r="I231" s="175"/>
      <c r="K231" s="64"/>
    </row>
    <row r="232" spans="1:11" ht="22.15" customHeight="1" x14ac:dyDescent="0.35"/>
    <row r="233" spans="1:11" ht="22.15" customHeight="1" x14ac:dyDescent="0.35">
      <c r="A233" s="174" t="s">
        <v>498</v>
      </c>
      <c r="G233" s="174"/>
      <c r="H233" s="174"/>
      <c r="I233" s="174"/>
    </row>
    <row r="234" spans="1:11" ht="22.15" customHeight="1" x14ac:dyDescent="0.35">
      <c r="A234" s="174" t="s">
        <v>499</v>
      </c>
    </row>
    <row r="235" spans="1:11" ht="22.15" customHeight="1" x14ac:dyDescent="0.35">
      <c r="G235" s="174"/>
      <c r="H235" s="174"/>
      <c r="I235" s="174"/>
    </row>
    <row r="236" spans="1:11" ht="22.15" customHeight="1" thickBot="1" x14ac:dyDescent="0.4">
      <c r="G236" s="174"/>
      <c r="H236" s="174"/>
      <c r="I236" s="174"/>
    </row>
    <row r="237" spans="1:11" ht="69" customHeight="1" thickBot="1" x14ac:dyDescent="0.4">
      <c r="A237" s="182"/>
      <c r="B237" s="221">
        <v>2025</v>
      </c>
      <c r="C237" s="222"/>
      <c r="D237" s="223" t="s">
        <v>305</v>
      </c>
      <c r="E237" s="222"/>
      <c r="F237" s="223" t="s">
        <v>306</v>
      </c>
      <c r="G237" s="224" t="s">
        <v>30</v>
      </c>
      <c r="H237" s="183"/>
      <c r="I237" s="183"/>
    </row>
    <row r="238" spans="1:11" ht="22.15" customHeight="1" thickBot="1" x14ac:dyDescent="0.4">
      <c r="B238" s="225" t="s">
        <v>451</v>
      </c>
    </row>
    <row r="239" spans="1:11" ht="22.15" customHeight="1" x14ac:dyDescent="0.35"/>
    <row r="240" spans="1:11" ht="22.15" customHeight="1" x14ac:dyDescent="0.35">
      <c r="B240" s="174" t="s">
        <v>302</v>
      </c>
      <c r="D240" s="12">
        <v>54939373.030000001</v>
      </c>
      <c r="F240" s="12">
        <v>16430763.77</v>
      </c>
      <c r="G240" s="175">
        <f>+D240+F240</f>
        <v>71370136.799999997</v>
      </c>
    </row>
    <row r="241" spans="1:11" ht="22.15" customHeight="1" x14ac:dyDescent="0.35">
      <c r="B241" s="174" t="s">
        <v>307</v>
      </c>
      <c r="D241" s="12">
        <v>2567270.7799999998</v>
      </c>
      <c r="F241" s="12">
        <v>14723713.199999999</v>
      </c>
      <c r="G241" s="175">
        <f>+D241+F241</f>
        <v>17290983.98</v>
      </c>
    </row>
    <row r="242" spans="1:11" ht="22.15" customHeight="1" x14ac:dyDescent="0.35">
      <c r="B242" s="174" t="s">
        <v>32</v>
      </c>
      <c r="D242" s="86">
        <v>-3845084.02</v>
      </c>
      <c r="E242" s="13"/>
      <c r="F242" s="86">
        <v>-1421227.53</v>
      </c>
      <c r="G242" s="226">
        <f>+D242+F242</f>
        <v>-5266311.55</v>
      </c>
    </row>
    <row r="243" spans="1:11" ht="22.15" customHeight="1" x14ac:dyDescent="0.35">
      <c r="B243" s="174" t="s">
        <v>308</v>
      </c>
      <c r="D243" s="227">
        <f>SUM(D240:D242)</f>
        <v>53661559.789999999</v>
      </c>
      <c r="F243" s="227">
        <f>SUM(F240:F242)</f>
        <v>29733249.439999998</v>
      </c>
      <c r="G243" s="226">
        <f>SUM(G240:G242)</f>
        <v>83394809.230000004</v>
      </c>
      <c r="I243" s="183">
        <f>+G243</f>
        <v>83394809.230000004</v>
      </c>
    </row>
    <row r="244" spans="1:11" ht="22.15" customHeight="1" x14ac:dyDescent="0.35"/>
    <row r="245" spans="1:11" ht="22.15" customHeight="1" x14ac:dyDescent="0.35">
      <c r="B245" s="228" t="s">
        <v>309</v>
      </c>
      <c r="C245" s="228"/>
      <c r="D245" s="228"/>
    </row>
    <row r="246" spans="1:11" s="182" customFormat="1" ht="22.15" customHeight="1" x14ac:dyDescent="0.35">
      <c r="A246" s="174"/>
      <c r="B246" s="174"/>
      <c r="C246" s="174"/>
      <c r="D246" s="174"/>
      <c r="E246" s="174"/>
      <c r="F246" s="174"/>
      <c r="G246" s="175"/>
      <c r="H246" s="175"/>
      <c r="I246" s="175"/>
      <c r="K246" s="64"/>
    </row>
    <row r="247" spans="1:11" ht="22.15" customHeight="1" x14ac:dyDescent="0.35">
      <c r="B247" s="174" t="s">
        <v>302</v>
      </c>
      <c r="D247" s="12">
        <v>-41106621.229999997</v>
      </c>
      <c r="F247" s="12">
        <v>-13473176.85</v>
      </c>
      <c r="G247" s="229">
        <f>+D247+F247</f>
        <v>-54579798.079999998</v>
      </c>
    </row>
    <row r="248" spans="1:11" ht="22.15" customHeight="1" x14ac:dyDescent="0.35">
      <c r="B248" s="174" t="s">
        <v>382</v>
      </c>
      <c r="D248" s="12"/>
      <c r="F248" s="12">
        <v>0</v>
      </c>
      <c r="G248" s="12">
        <f>+D248</f>
        <v>0</v>
      </c>
    </row>
    <row r="249" spans="1:11" ht="22.15" customHeight="1" x14ac:dyDescent="0.35">
      <c r="B249" s="174" t="s">
        <v>310</v>
      </c>
      <c r="D249" s="12">
        <v>-4194531.8499999996</v>
      </c>
      <c r="F249" s="12">
        <v>-2068634.58</v>
      </c>
      <c r="G249" s="12">
        <f>+D249+F249</f>
        <v>-6263166.4299999997</v>
      </c>
    </row>
    <row r="250" spans="1:11" ht="22.15" customHeight="1" x14ac:dyDescent="0.35">
      <c r="B250" s="174" t="s">
        <v>32</v>
      </c>
      <c r="D250" s="12">
        <v>3844684.29</v>
      </c>
      <c r="F250" s="12">
        <f>1421226.53</f>
        <v>1421226.53</v>
      </c>
      <c r="G250" s="12">
        <f>+D250+F250</f>
        <v>5265910.82</v>
      </c>
    </row>
    <row r="251" spans="1:11" ht="22.15" customHeight="1" x14ac:dyDescent="0.35">
      <c r="B251" s="174" t="s">
        <v>308</v>
      </c>
      <c r="D251" s="86">
        <f>SUM(D247:D250)</f>
        <v>-41456468.789999999</v>
      </c>
      <c r="F251" s="86">
        <f>SUM(F247:F250)</f>
        <v>-14120584.9</v>
      </c>
      <c r="G251" s="86">
        <f>SUM(D251:F251)</f>
        <v>-55577053.689999998</v>
      </c>
    </row>
    <row r="252" spans="1:11" ht="22.15" customHeight="1" thickBot="1" x14ac:dyDescent="0.4">
      <c r="A252" s="182"/>
      <c r="B252" s="182" t="s">
        <v>304</v>
      </c>
      <c r="C252" s="182"/>
      <c r="D252" s="87">
        <f>+D243+D251</f>
        <v>12205091</v>
      </c>
      <c r="E252" s="204"/>
      <c r="F252" s="87">
        <f>+F243+F251</f>
        <v>15612664.539999997</v>
      </c>
      <c r="G252" s="87">
        <f>+G243+G251</f>
        <v>27817755.540000007</v>
      </c>
      <c r="H252" s="183"/>
      <c r="I252" s="183">
        <f>+G252</f>
        <v>27817755.540000007</v>
      </c>
    </row>
    <row r="253" spans="1:11" ht="22.15" customHeight="1" thickTop="1" x14ac:dyDescent="0.35">
      <c r="A253" s="182"/>
      <c r="B253" s="182"/>
      <c r="C253" s="182"/>
      <c r="D253" s="133"/>
      <c r="E253" s="204"/>
      <c r="F253" s="133"/>
      <c r="G253" s="133"/>
      <c r="H253" s="183"/>
      <c r="I253" s="183"/>
    </row>
    <row r="254" spans="1:11" ht="22.15" customHeight="1" thickBot="1" x14ac:dyDescent="0.4"/>
    <row r="255" spans="1:11" ht="64.900000000000006" customHeight="1" thickBot="1" x14ac:dyDescent="0.4">
      <c r="A255" s="182"/>
      <c r="B255" s="221">
        <v>2024</v>
      </c>
      <c r="C255" s="222"/>
      <c r="D255" s="223" t="s">
        <v>305</v>
      </c>
      <c r="E255" s="222"/>
      <c r="F255" s="223" t="s">
        <v>306</v>
      </c>
      <c r="G255" s="224" t="s">
        <v>30</v>
      </c>
      <c r="H255" s="183"/>
      <c r="I255" s="183"/>
    </row>
    <row r="256" spans="1:11" ht="27.6" customHeight="1" thickBot="1" x14ac:dyDescent="0.4">
      <c r="B256" s="225" t="s">
        <v>303</v>
      </c>
    </row>
    <row r="257" spans="1:9" ht="22.15" customHeight="1" x14ac:dyDescent="0.35">
      <c r="B257" s="174" t="s">
        <v>302</v>
      </c>
      <c r="D257" s="12">
        <v>53816858.899999999</v>
      </c>
      <c r="F257" s="12">
        <v>16430763.77</v>
      </c>
      <c r="G257" s="175">
        <f>+D257+F257</f>
        <v>70247622.670000002</v>
      </c>
    </row>
    <row r="258" spans="1:9" ht="22.15" customHeight="1" x14ac:dyDescent="0.35">
      <c r="B258" s="174" t="s">
        <v>307</v>
      </c>
      <c r="D258" s="12">
        <v>1122514.1299999999</v>
      </c>
      <c r="F258" s="12">
        <v>0</v>
      </c>
      <c r="G258" s="175">
        <f>+D258+F258</f>
        <v>1122514.1299999999</v>
      </c>
    </row>
    <row r="259" spans="1:9" ht="22.15" customHeight="1" x14ac:dyDescent="0.35">
      <c r="B259" s="174" t="s">
        <v>32</v>
      </c>
      <c r="D259" s="86">
        <v>0</v>
      </c>
      <c r="E259" s="13"/>
      <c r="F259" s="86">
        <v>0</v>
      </c>
      <c r="G259" s="226">
        <f>+D259+F259</f>
        <v>0</v>
      </c>
    </row>
    <row r="260" spans="1:9" ht="22.15" customHeight="1" x14ac:dyDescent="0.35">
      <c r="B260" s="174" t="s">
        <v>308</v>
      </c>
      <c r="D260" s="227">
        <f>SUM(D257:D259)</f>
        <v>54939373.030000001</v>
      </c>
      <c r="F260" s="227">
        <f>SUM(F257:F259)</f>
        <v>16430763.77</v>
      </c>
      <c r="G260" s="226">
        <f>SUM(G257:G259)</f>
        <v>71370136.799999997</v>
      </c>
      <c r="I260" s="183">
        <f>+G260</f>
        <v>71370136.799999997</v>
      </c>
    </row>
    <row r="261" spans="1:9" ht="22.15" customHeight="1" x14ac:dyDescent="0.35"/>
    <row r="262" spans="1:9" ht="22.15" customHeight="1" x14ac:dyDescent="0.35">
      <c r="B262" s="228" t="s">
        <v>309</v>
      </c>
      <c r="C262" s="228"/>
      <c r="D262" s="228"/>
    </row>
    <row r="263" spans="1:9" ht="22.15" customHeight="1" x14ac:dyDescent="0.35">
      <c r="B263" s="174" t="s">
        <v>302</v>
      </c>
      <c r="D263" s="12">
        <v>-34475543.869999997</v>
      </c>
      <c r="F263" s="12">
        <v>-14228304.09</v>
      </c>
      <c r="G263" s="229">
        <f>+D263+F263</f>
        <v>-48703847.959999993</v>
      </c>
    </row>
    <row r="264" spans="1:9" ht="22.15" customHeight="1" x14ac:dyDescent="0.35">
      <c r="B264" s="174" t="s">
        <v>382</v>
      </c>
      <c r="D264" s="12"/>
      <c r="F264" s="12">
        <v>0</v>
      </c>
      <c r="G264" s="12">
        <f>+D264</f>
        <v>0</v>
      </c>
    </row>
    <row r="265" spans="1:9" ht="22.15" customHeight="1" x14ac:dyDescent="0.35">
      <c r="B265" s="174" t="s">
        <v>310</v>
      </c>
      <c r="D265" s="12">
        <f>-5875950.12-755127.24</f>
        <v>-6631077.3600000003</v>
      </c>
      <c r="F265" s="12">
        <v>755127.24</v>
      </c>
      <c r="G265" s="12">
        <f>+D265+F265</f>
        <v>-5875950.1200000001</v>
      </c>
    </row>
    <row r="266" spans="1:9" ht="22.15" customHeight="1" x14ac:dyDescent="0.35">
      <c r="B266" s="174" t="s">
        <v>32</v>
      </c>
      <c r="D266" s="12"/>
      <c r="F266" s="12"/>
      <c r="G266" s="12">
        <f>+D266+F266</f>
        <v>0</v>
      </c>
    </row>
    <row r="267" spans="1:9" ht="22.15" customHeight="1" x14ac:dyDescent="0.35">
      <c r="B267" s="174" t="s">
        <v>308</v>
      </c>
      <c r="D267" s="86">
        <f>SUM(D263:D266)</f>
        <v>-41106621.229999997</v>
      </c>
      <c r="F267" s="86">
        <f>SUM(F263:F266)</f>
        <v>-13473176.85</v>
      </c>
      <c r="G267" s="86">
        <f>SUM(D267:F267)</f>
        <v>-54579798.079999998</v>
      </c>
    </row>
    <row r="268" spans="1:9" ht="22.15" customHeight="1" thickBot="1" x14ac:dyDescent="0.4">
      <c r="A268" s="182"/>
      <c r="B268" s="182" t="s">
        <v>304</v>
      </c>
      <c r="C268" s="182"/>
      <c r="D268" s="87">
        <f>+D260+D267</f>
        <v>13832751.800000004</v>
      </c>
      <c r="E268" s="204"/>
      <c r="F268" s="87">
        <f>+F260+F267</f>
        <v>2957586.92</v>
      </c>
      <c r="G268" s="87">
        <f>+G260+G267-0.12</f>
        <v>16790338.599999998</v>
      </c>
      <c r="H268" s="183"/>
      <c r="I268" s="183">
        <f>+G268</f>
        <v>16790338.599999998</v>
      </c>
    </row>
    <row r="269" spans="1:9" ht="22.15" customHeight="1" thickTop="1" x14ac:dyDescent="0.35"/>
    <row r="270" spans="1:9" ht="22.15" customHeight="1" x14ac:dyDescent="0.35">
      <c r="A270" s="182"/>
    </row>
    <row r="271" spans="1:9" ht="22.15" customHeight="1" x14ac:dyDescent="0.35">
      <c r="A271" s="182"/>
      <c r="F271" s="174" t="s">
        <v>387</v>
      </c>
    </row>
    <row r="272" spans="1:9" ht="22.15" customHeight="1" x14ac:dyDescent="0.35">
      <c r="A272" s="182"/>
    </row>
    <row r="273" spans="1:11" ht="22.15" customHeight="1" x14ac:dyDescent="0.35">
      <c r="A273" s="182"/>
    </row>
    <row r="274" spans="1:11" ht="22.15" customHeight="1" x14ac:dyDescent="0.35">
      <c r="A274" s="182" t="s">
        <v>39</v>
      </c>
      <c r="B274" s="182" t="s">
        <v>41</v>
      </c>
      <c r="C274" s="182"/>
      <c r="K274" s="13"/>
    </row>
    <row r="275" spans="1:11" s="182" customFormat="1" ht="22.15" customHeight="1" x14ac:dyDescent="0.35">
      <c r="A275" s="174" t="s">
        <v>452</v>
      </c>
      <c r="B275" s="174"/>
      <c r="C275" s="174"/>
      <c r="D275" s="174"/>
      <c r="E275" s="174"/>
      <c r="F275" s="174"/>
      <c r="G275" s="175"/>
      <c r="H275" s="175"/>
      <c r="I275" s="175"/>
      <c r="K275" s="14"/>
    </row>
    <row r="276" spans="1:11" s="182" customFormat="1" ht="22.15" customHeight="1" x14ac:dyDescent="0.35">
      <c r="A276" s="201"/>
      <c r="B276" s="201"/>
      <c r="C276" s="201"/>
      <c r="D276" s="201"/>
      <c r="E276" s="201"/>
      <c r="F276" s="201"/>
      <c r="G276" s="208"/>
      <c r="H276" s="208"/>
      <c r="I276" s="208"/>
      <c r="K276" s="14"/>
    </row>
    <row r="277" spans="1:11" ht="22.15" customHeight="1" x14ac:dyDescent="0.35">
      <c r="A277" s="265" t="s">
        <v>4</v>
      </c>
      <c r="B277" s="266"/>
      <c r="C277" s="266"/>
      <c r="D277" s="266"/>
      <c r="E277" s="266"/>
      <c r="F277" s="267"/>
      <c r="G277" s="209">
        <v>2025</v>
      </c>
      <c r="H277" s="204"/>
      <c r="I277" s="209">
        <v>2024</v>
      </c>
      <c r="J277" s="175"/>
    </row>
    <row r="278" spans="1:11" ht="22.15" customHeight="1" x14ac:dyDescent="0.35">
      <c r="A278" s="194" t="s">
        <v>42</v>
      </c>
      <c r="B278" s="190"/>
      <c r="C278" s="190"/>
      <c r="D278" s="190"/>
      <c r="E278" s="190"/>
      <c r="F278" s="191"/>
      <c r="G278" s="198">
        <v>5184418.3</v>
      </c>
      <c r="H278" s="205"/>
      <c r="I278" s="198">
        <v>8792058.5700000003</v>
      </c>
      <c r="K278" s="12">
        <f>+G278+G243</f>
        <v>88579227.530000001</v>
      </c>
    </row>
    <row r="279" spans="1:11" ht="22.15" customHeight="1" x14ac:dyDescent="0.35">
      <c r="A279" s="194" t="s">
        <v>335</v>
      </c>
      <c r="B279" s="190"/>
      <c r="C279" s="190"/>
      <c r="D279" s="190"/>
      <c r="E279" s="190"/>
      <c r="F279" s="191"/>
      <c r="G279" s="198">
        <v>-5184410.3</v>
      </c>
      <c r="H279" s="205"/>
      <c r="I279" s="198">
        <v>-8792033.5700000003</v>
      </c>
    </row>
    <row r="280" spans="1:11" ht="22.15" customHeight="1" x14ac:dyDescent="0.35">
      <c r="A280" s="189" t="s">
        <v>46</v>
      </c>
      <c r="B280" s="190"/>
      <c r="C280" s="190"/>
      <c r="D280" s="190"/>
      <c r="E280" s="190"/>
      <c r="F280" s="191"/>
      <c r="G280" s="193">
        <f>SUM(G278:G279)</f>
        <v>8</v>
      </c>
      <c r="H280" s="204"/>
      <c r="I280" s="193">
        <f>SUM(I278:I279)</f>
        <v>25</v>
      </c>
    </row>
    <row r="281" spans="1:11" ht="22.15" customHeight="1" x14ac:dyDescent="0.35">
      <c r="A281" s="196"/>
      <c r="B281" s="196"/>
      <c r="C281" s="196"/>
      <c r="D281" s="196"/>
      <c r="E281" s="196"/>
      <c r="F281" s="196"/>
      <c r="G281" s="230"/>
      <c r="H281" s="204"/>
      <c r="I281" s="230"/>
    </row>
    <row r="282" spans="1:11" ht="22.15" customHeight="1" x14ac:dyDescent="0.35">
      <c r="A282" s="196"/>
      <c r="B282" s="196"/>
      <c r="C282" s="196"/>
      <c r="D282" s="196"/>
      <c r="E282" s="196"/>
      <c r="F282" s="196"/>
      <c r="G282" s="230"/>
      <c r="H282" s="204"/>
      <c r="I282" s="230"/>
    </row>
    <row r="283" spans="1:11" ht="22.15" customHeight="1" x14ac:dyDescent="0.35">
      <c r="A283" s="196"/>
      <c r="B283" s="196"/>
      <c r="C283" s="196"/>
      <c r="D283" s="196"/>
      <c r="E283" s="196"/>
      <c r="F283" s="196"/>
      <c r="G283" s="230"/>
      <c r="H283" s="204"/>
      <c r="I283" s="230"/>
    </row>
    <row r="284" spans="1:11" ht="22.15" customHeight="1" x14ac:dyDescent="0.35">
      <c r="A284" s="196"/>
      <c r="B284" s="196"/>
      <c r="C284" s="196"/>
      <c r="D284" s="196"/>
      <c r="E284" s="196"/>
      <c r="F284" s="196"/>
      <c r="G284" s="230"/>
      <c r="H284" s="204"/>
      <c r="I284" s="230"/>
    </row>
    <row r="285" spans="1:11" ht="22.15" customHeight="1" x14ac:dyDescent="0.35">
      <c r="A285" s="196"/>
      <c r="B285" s="196"/>
      <c r="C285" s="196"/>
      <c r="D285" s="196"/>
      <c r="E285" s="196"/>
      <c r="F285" s="196"/>
      <c r="G285" s="230"/>
      <c r="H285" s="204"/>
      <c r="I285" s="230"/>
    </row>
    <row r="286" spans="1:11" ht="22.15" customHeight="1" x14ac:dyDescent="0.35">
      <c r="A286" s="196"/>
      <c r="B286" s="196"/>
      <c r="C286" s="196"/>
      <c r="D286" s="196"/>
      <c r="E286" s="196"/>
      <c r="F286" s="196"/>
      <c r="G286" s="230"/>
      <c r="H286" s="204"/>
      <c r="I286" s="230"/>
    </row>
    <row r="287" spans="1:11" ht="22.15" customHeight="1" x14ac:dyDescent="0.35">
      <c r="A287" s="196"/>
      <c r="B287" s="196"/>
      <c r="C287" s="196"/>
      <c r="D287" s="196"/>
      <c r="E287" s="196"/>
      <c r="F287" s="196"/>
      <c r="G287" s="230"/>
      <c r="H287" s="204"/>
      <c r="I287" s="230"/>
    </row>
    <row r="288" spans="1:11" ht="22.15" customHeight="1" x14ac:dyDescent="0.35">
      <c r="A288" s="196"/>
      <c r="B288" s="196"/>
      <c r="C288" s="196"/>
      <c r="D288" s="196"/>
      <c r="E288" s="196"/>
      <c r="F288" s="196"/>
      <c r="G288" s="230"/>
      <c r="H288" s="204"/>
      <c r="I288" s="230"/>
    </row>
    <row r="289" spans="1:12" ht="22.15" customHeight="1" x14ac:dyDescent="0.35">
      <c r="A289" s="196"/>
      <c r="B289" s="196"/>
      <c r="C289" s="196"/>
      <c r="D289" s="196"/>
      <c r="E289" s="196"/>
      <c r="F289" s="196"/>
      <c r="G289" s="230"/>
      <c r="H289" s="204"/>
      <c r="I289" s="230"/>
    </row>
    <row r="290" spans="1:12" ht="22.15" customHeight="1" x14ac:dyDescent="0.35">
      <c r="A290" s="196"/>
      <c r="B290" s="196"/>
      <c r="C290" s="196"/>
      <c r="D290" s="196"/>
      <c r="E290" s="196"/>
      <c r="F290" s="196"/>
      <c r="G290" s="230"/>
      <c r="H290" s="204"/>
      <c r="I290" s="230"/>
    </row>
    <row r="291" spans="1:12" ht="22.15" customHeight="1" x14ac:dyDescent="0.35">
      <c r="A291" s="182" t="s">
        <v>40</v>
      </c>
      <c r="B291" s="182" t="s">
        <v>44</v>
      </c>
      <c r="C291" s="182"/>
      <c r="D291" s="182"/>
      <c r="K291" s="13"/>
    </row>
    <row r="292" spans="1:12" ht="22.15" customHeight="1" x14ac:dyDescent="0.35">
      <c r="A292" s="182"/>
      <c r="B292" s="182"/>
      <c r="C292" s="182"/>
      <c r="D292" s="182"/>
      <c r="K292" s="13"/>
    </row>
    <row r="293" spans="1:12" ht="22.15" customHeight="1" x14ac:dyDescent="0.35">
      <c r="A293" s="174" t="s">
        <v>389</v>
      </c>
      <c r="K293" s="13"/>
    </row>
    <row r="294" spans="1:12" ht="22.15" customHeight="1" x14ac:dyDescent="0.35">
      <c r="A294" s="174" t="s">
        <v>453</v>
      </c>
      <c r="B294" s="182"/>
      <c r="C294" s="182"/>
      <c r="D294" s="182"/>
      <c r="K294" s="13"/>
    </row>
    <row r="295" spans="1:12" ht="22.15" customHeight="1" x14ac:dyDescent="0.35">
      <c r="A295" s="182"/>
      <c r="B295" s="182"/>
      <c r="C295" s="182"/>
      <c r="D295" s="182"/>
      <c r="J295" s="217"/>
    </row>
    <row r="296" spans="1:12" ht="22.15" customHeight="1" x14ac:dyDescent="0.35">
      <c r="A296" s="265" t="s">
        <v>4</v>
      </c>
      <c r="B296" s="266"/>
      <c r="C296" s="266"/>
      <c r="D296" s="266"/>
      <c r="E296" s="266"/>
      <c r="F296" s="267"/>
      <c r="G296" s="209">
        <v>2025</v>
      </c>
      <c r="H296" s="204"/>
      <c r="I296" s="209">
        <v>2024</v>
      </c>
    </row>
    <row r="297" spans="1:12" ht="22.15" customHeight="1" x14ac:dyDescent="0.35">
      <c r="A297" s="268" t="s">
        <v>284</v>
      </c>
      <c r="B297" s="269"/>
      <c r="C297" s="269"/>
      <c r="D297" s="269"/>
      <c r="E297" s="269"/>
      <c r="F297" s="270"/>
      <c r="G297" s="198">
        <v>22365639.84</v>
      </c>
      <c r="H297" s="205"/>
      <c r="I297" s="198">
        <v>11056943.560000001</v>
      </c>
      <c r="L297" s="175"/>
    </row>
    <row r="298" spans="1:12" ht="22.15" customHeight="1" x14ac:dyDescent="0.35">
      <c r="A298" s="268" t="s">
        <v>45</v>
      </c>
      <c r="B298" s="269"/>
      <c r="C298" s="269"/>
      <c r="D298" s="269"/>
      <c r="E298" s="269"/>
      <c r="F298" s="270"/>
      <c r="G298" s="198">
        <v>4149700.71</v>
      </c>
      <c r="H298" s="205"/>
      <c r="I298" s="198">
        <v>2229949.41</v>
      </c>
    </row>
    <row r="299" spans="1:12" ht="22.15" customHeight="1" x14ac:dyDescent="0.35">
      <c r="A299" s="189" t="s">
        <v>147</v>
      </c>
      <c r="B299" s="231"/>
      <c r="C299" s="232"/>
      <c r="D299" s="232"/>
      <c r="E299" s="232"/>
      <c r="F299" s="232"/>
      <c r="G299" s="193">
        <f>SUM(G297:G298)</f>
        <v>26515340.550000001</v>
      </c>
      <c r="H299" s="204"/>
      <c r="I299" s="193">
        <f>SUM(I297:I298)</f>
        <v>13286892.970000001</v>
      </c>
    </row>
    <row r="300" spans="1:12" ht="22.15" customHeight="1" x14ac:dyDescent="0.35"/>
    <row r="301" spans="1:12" ht="22.15" customHeight="1" x14ac:dyDescent="0.35"/>
    <row r="302" spans="1:12" ht="22.15" customHeight="1" x14ac:dyDescent="0.35">
      <c r="A302" s="182" t="s">
        <v>337</v>
      </c>
      <c r="B302" s="182"/>
      <c r="C302" s="182"/>
      <c r="D302" s="182"/>
      <c r="G302" s="209">
        <v>2025</v>
      </c>
      <c r="H302" s="204"/>
      <c r="I302" s="209">
        <v>2024</v>
      </c>
    </row>
    <row r="303" spans="1:12" ht="22.15" customHeight="1" x14ac:dyDescent="0.35">
      <c r="A303" s="262" t="s">
        <v>338</v>
      </c>
      <c r="B303" s="263"/>
      <c r="C303" s="263"/>
      <c r="D303" s="263"/>
      <c r="E303" s="263"/>
      <c r="F303" s="264"/>
      <c r="G303" s="236">
        <v>131165.57999999999</v>
      </c>
      <c r="I303" s="236">
        <v>72361.5</v>
      </c>
    </row>
    <row r="304" spans="1:12" ht="22.15" customHeight="1" x14ac:dyDescent="0.35">
      <c r="A304" s="262" t="s">
        <v>496</v>
      </c>
      <c r="B304" s="263"/>
      <c r="C304" s="263"/>
      <c r="D304" s="263"/>
      <c r="E304" s="263"/>
      <c r="F304" s="264"/>
      <c r="G304" s="237">
        <v>31631.25</v>
      </c>
      <c r="I304" s="237">
        <v>0</v>
      </c>
    </row>
    <row r="305" spans="1:9" ht="22.15" customHeight="1" x14ac:dyDescent="0.35">
      <c r="A305" s="233" t="s">
        <v>430</v>
      </c>
      <c r="B305" s="234"/>
      <c r="C305" s="234"/>
      <c r="D305" s="234"/>
      <c r="E305" s="234"/>
      <c r="F305" s="235"/>
      <c r="G305" s="237">
        <v>2407.1999999999998</v>
      </c>
      <c r="I305" s="237">
        <v>133346</v>
      </c>
    </row>
    <row r="306" spans="1:9" ht="22.15" customHeight="1" x14ac:dyDescent="0.35">
      <c r="A306" s="233" t="s">
        <v>396</v>
      </c>
      <c r="B306" s="234"/>
      <c r="C306" s="234"/>
      <c r="D306" s="234"/>
      <c r="E306" s="234"/>
      <c r="F306" s="235"/>
      <c r="G306" s="236">
        <v>117175.77</v>
      </c>
      <c r="I306" s="236">
        <v>56231.07</v>
      </c>
    </row>
    <row r="307" spans="1:9" ht="22.15" customHeight="1" x14ac:dyDescent="0.35">
      <c r="A307" s="262" t="s">
        <v>339</v>
      </c>
      <c r="B307" s="263"/>
      <c r="C307" s="263"/>
      <c r="D307" s="263"/>
      <c r="E307" s="263"/>
      <c r="F307" s="264"/>
      <c r="G307" s="236">
        <v>622375</v>
      </c>
      <c r="I307" s="236">
        <v>3792262.5</v>
      </c>
    </row>
    <row r="308" spans="1:9" ht="22.15" customHeight="1" x14ac:dyDescent="0.35">
      <c r="A308" s="233" t="s">
        <v>391</v>
      </c>
      <c r="B308" s="234"/>
      <c r="C308" s="234"/>
      <c r="D308" s="234"/>
      <c r="E308" s="234"/>
      <c r="F308" s="235"/>
      <c r="G308" s="236">
        <v>0</v>
      </c>
      <c r="I308" s="236">
        <v>755</v>
      </c>
    </row>
    <row r="309" spans="1:9" ht="22.15" customHeight="1" x14ac:dyDescent="0.35">
      <c r="A309" s="233" t="s">
        <v>431</v>
      </c>
      <c r="B309" s="234"/>
      <c r="C309" s="234"/>
      <c r="D309" s="234"/>
      <c r="E309" s="234"/>
      <c r="F309" s="235"/>
      <c r="G309" s="236">
        <v>600000</v>
      </c>
      <c r="I309" s="236">
        <v>600000</v>
      </c>
    </row>
    <row r="310" spans="1:9" ht="22.15" customHeight="1" x14ac:dyDescent="0.35">
      <c r="A310" s="233" t="s">
        <v>486</v>
      </c>
      <c r="B310" s="234"/>
      <c r="C310" s="234"/>
      <c r="D310" s="234"/>
      <c r="E310" s="234"/>
      <c r="F310" s="235"/>
      <c r="G310" s="236">
        <v>28900</v>
      </c>
      <c r="I310" s="236">
        <v>0</v>
      </c>
    </row>
    <row r="311" spans="1:9" ht="22.15" customHeight="1" x14ac:dyDescent="0.35">
      <c r="A311" s="262" t="s">
        <v>483</v>
      </c>
      <c r="B311" s="263"/>
      <c r="C311" s="263"/>
      <c r="D311" s="263"/>
      <c r="E311" s="263"/>
      <c r="F311" s="264"/>
      <c r="G311" s="236">
        <v>9692528.4199999999</v>
      </c>
      <c r="I311" s="236">
        <v>0</v>
      </c>
    </row>
    <row r="312" spans="1:9" ht="22.15" customHeight="1" x14ac:dyDescent="0.35">
      <c r="A312" s="233" t="s">
        <v>484</v>
      </c>
      <c r="B312" s="234"/>
      <c r="C312" s="234"/>
      <c r="D312" s="234"/>
      <c r="E312" s="234"/>
      <c r="F312" s="235"/>
      <c r="G312" s="236">
        <v>60097.05</v>
      </c>
      <c r="I312" s="236">
        <v>0</v>
      </c>
    </row>
    <row r="313" spans="1:9" ht="22.15" customHeight="1" x14ac:dyDescent="0.35">
      <c r="A313" s="262" t="s">
        <v>340</v>
      </c>
      <c r="B313" s="263"/>
      <c r="C313" s="263"/>
      <c r="D313" s="263"/>
      <c r="E313" s="263"/>
      <c r="F313" s="264"/>
      <c r="G313" s="236">
        <v>0</v>
      </c>
      <c r="I313" s="236">
        <v>254436.44</v>
      </c>
    </row>
    <row r="314" spans="1:9" ht="22.15" customHeight="1" x14ac:dyDescent="0.35">
      <c r="A314" s="233" t="s">
        <v>424</v>
      </c>
      <c r="B314" s="234"/>
      <c r="C314" s="234"/>
      <c r="D314" s="234"/>
      <c r="E314" s="234"/>
      <c r="F314" s="235"/>
      <c r="G314" s="236">
        <v>0</v>
      </c>
      <c r="I314" s="236">
        <v>2064307.72</v>
      </c>
    </row>
    <row r="315" spans="1:9" ht="22.15" customHeight="1" x14ac:dyDescent="0.35">
      <c r="A315" s="233" t="s">
        <v>485</v>
      </c>
      <c r="B315" s="234"/>
      <c r="C315" s="234"/>
      <c r="D315" s="234"/>
      <c r="E315" s="234"/>
      <c r="F315" s="235"/>
      <c r="G315" s="236">
        <v>195491</v>
      </c>
      <c r="I315" s="236">
        <v>0</v>
      </c>
    </row>
    <row r="316" spans="1:9" ht="22.15" customHeight="1" x14ac:dyDescent="0.35">
      <c r="A316" s="233" t="s">
        <v>397</v>
      </c>
      <c r="B316" s="234"/>
      <c r="C316" s="234"/>
      <c r="D316" s="234"/>
      <c r="E316" s="234"/>
      <c r="F316" s="235"/>
      <c r="G316" s="236">
        <v>32657.45</v>
      </c>
      <c r="I316" s="236">
        <v>32657.45</v>
      </c>
    </row>
    <row r="317" spans="1:9" ht="22.15" customHeight="1" x14ac:dyDescent="0.35">
      <c r="A317" s="262" t="s">
        <v>341</v>
      </c>
      <c r="B317" s="263"/>
      <c r="C317" s="263"/>
      <c r="D317" s="263"/>
      <c r="E317" s="263"/>
      <c r="F317" s="264"/>
      <c r="G317" s="236">
        <v>73380.78</v>
      </c>
      <c r="I317" s="236">
        <v>11045.78</v>
      </c>
    </row>
    <row r="318" spans="1:9" ht="22.15" customHeight="1" x14ac:dyDescent="0.35">
      <c r="A318" s="233" t="s">
        <v>432</v>
      </c>
      <c r="B318" s="234"/>
      <c r="C318" s="234"/>
      <c r="D318" s="234"/>
      <c r="E318" s="234"/>
      <c r="F318" s="235"/>
      <c r="G318" s="236">
        <v>0</v>
      </c>
      <c r="I318" s="236">
        <v>3450</v>
      </c>
    </row>
    <row r="319" spans="1:9" ht="22.15" customHeight="1" x14ac:dyDescent="0.35">
      <c r="A319" s="233" t="s">
        <v>429</v>
      </c>
      <c r="B319" s="234"/>
      <c r="C319" s="234"/>
      <c r="D319" s="234"/>
      <c r="E319" s="234"/>
      <c r="F319" s="235"/>
      <c r="G319" s="236">
        <v>0</v>
      </c>
      <c r="I319" s="236">
        <v>92889.84</v>
      </c>
    </row>
    <row r="320" spans="1:9" ht="22.15" customHeight="1" x14ac:dyDescent="0.35">
      <c r="A320" s="262" t="s">
        <v>342</v>
      </c>
      <c r="B320" s="263"/>
      <c r="C320" s="263"/>
      <c r="D320" s="263"/>
      <c r="E320" s="263"/>
      <c r="F320" s="264"/>
      <c r="G320" s="236">
        <v>338534.56</v>
      </c>
      <c r="I320" s="236">
        <v>312088.53000000003</v>
      </c>
    </row>
    <row r="321" spans="1:9" ht="22.15" customHeight="1" x14ac:dyDescent="0.35">
      <c r="A321" s="233" t="s">
        <v>488</v>
      </c>
      <c r="B321" s="234"/>
      <c r="C321" s="234"/>
      <c r="D321" s="234"/>
      <c r="E321" s="234"/>
      <c r="F321" s="235"/>
      <c r="G321" s="236">
        <v>142299.72</v>
      </c>
      <c r="I321" s="236">
        <v>0</v>
      </c>
    </row>
    <row r="322" spans="1:9" ht="22.15" customHeight="1" x14ac:dyDescent="0.35">
      <c r="A322" s="233" t="s">
        <v>425</v>
      </c>
      <c r="B322" s="234"/>
      <c r="C322" s="234"/>
      <c r="D322" s="234"/>
      <c r="E322" s="234"/>
      <c r="F322" s="235"/>
      <c r="G322" s="236">
        <v>0</v>
      </c>
      <c r="I322" s="236">
        <v>69671</v>
      </c>
    </row>
    <row r="323" spans="1:9" ht="22.15" customHeight="1" x14ac:dyDescent="0.35">
      <c r="A323" s="233" t="s">
        <v>373</v>
      </c>
      <c r="B323" s="234"/>
      <c r="C323" s="234"/>
      <c r="D323" s="234"/>
      <c r="E323" s="234"/>
      <c r="F323" s="235"/>
      <c r="G323" s="236">
        <v>7627.5</v>
      </c>
      <c r="I323" s="236">
        <v>68060.460000000006</v>
      </c>
    </row>
    <row r="324" spans="1:9" ht="22.15" customHeight="1" x14ac:dyDescent="0.35">
      <c r="A324" s="233" t="s">
        <v>420</v>
      </c>
      <c r="B324" s="234"/>
      <c r="C324" s="234"/>
      <c r="D324" s="234"/>
      <c r="E324" s="234"/>
      <c r="F324" s="235"/>
      <c r="G324" s="236">
        <v>0</v>
      </c>
      <c r="I324" s="236">
        <v>404227.7</v>
      </c>
    </row>
    <row r="325" spans="1:9" ht="22.15" customHeight="1" x14ac:dyDescent="0.35">
      <c r="A325" s="233" t="s">
        <v>421</v>
      </c>
      <c r="B325" s="234"/>
      <c r="C325" s="234"/>
      <c r="D325" s="234"/>
      <c r="E325" s="234"/>
      <c r="F325" s="235"/>
      <c r="G325" s="236">
        <v>0</v>
      </c>
      <c r="I325" s="236">
        <v>8206.77</v>
      </c>
    </row>
    <row r="326" spans="1:9" ht="22.15" customHeight="1" x14ac:dyDescent="0.35">
      <c r="A326" s="233" t="s">
        <v>427</v>
      </c>
      <c r="B326" s="234"/>
      <c r="C326" s="234"/>
      <c r="D326" s="234"/>
      <c r="E326" s="234"/>
      <c r="F326" s="235"/>
      <c r="G326" s="236">
        <v>112854.53</v>
      </c>
      <c r="I326" s="236">
        <v>206636.54</v>
      </c>
    </row>
    <row r="327" spans="1:9" ht="22.15" customHeight="1" x14ac:dyDescent="0.35">
      <c r="A327" s="233" t="s">
        <v>489</v>
      </c>
      <c r="B327" s="234"/>
      <c r="C327" s="234"/>
      <c r="D327" s="234"/>
      <c r="E327" s="234"/>
      <c r="F327" s="235"/>
      <c r="G327" s="236">
        <v>1898304.73</v>
      </c>
      <c r="I327" s="236"/>
    </row>
    <row r="328" spans="1:9" ht="22.15" customHeight="1" x14ac:dyDescent="0.35">
      <c r="A328" s="233" t="s">
        <v>398</v>
      </c>
      <c r="B328" s="234"/>
      <c r="C328" s="234"/>
      <c r="D328" s="234"/>
      <c r="E328" s="234"/>
      <c r="F328" s="235"/>
      <c r="G328" s="236">
        <v>91186.44</v>
      </c>
      <c r="I328" s="236">
        <v>91186.44</v>
      </c>
    </row>
    <row r="329" spans="1:9" ht="22.15" customHeight="1" x14ac:dyDescent="0.35">
      <c r="A329" s="233" t="s">
        <v>374</v>
      </c>
      <c r="B329" s="234"/>
      <c r="C329" s="234"/>
      <c r="D329" s="234"/>
      <c r="E329" s="234"/>
      <c r="F329" s="235"/>
      <c r="G329" s="236">
        <v>56801.72</v>
      </c>
      <c r="I329" s="236">
        <v>0</v>
      </c>
    </row>
    <row r="330" spans="1:9" ht="22.15" customHeight="1" x14ac:dyDescent="0.35">
      <c r="A330" s="262" t="s">
        <v>399</v>
      </c>
      <c r="B330" s="263"/>
      <c r="C330" s="263"/>
      <c r="D330" s="263"/>
      <c r="E330" s="263"/>
      <c r="F330" s="264"/>
      <c r="G330" s="236">
        <v>0</v>
      </c>
      <c r="I330" s="236">
        <v>0</v>
      </c>
    </row>
    <row r="331" spans="1:9" ht="22.15" customHeight="1" x14ac:dyDescent="0.35">
      <c r="A331" s="233" t="s">
        <v>422</v>
      </c>
      <c r="B331" s="234"/>
      <c r="C331" s="234"/>
      <c r="D331" s="234"/>
      <c r="E331" s="234"/>
      <c r="F331" s="235"/>
      <c r="G331" s="236">
        <v>12316.6</v>
      </c>
      <c r="I331" s="236">
        <v>541873.6</v>
      </c>
    </row>
    <row r="332" spans="1:9" ht="22.15" customHeight="1" x14ac:dyDescent="0.35">
      <c r="A332" s="233" t="s">
        <v>400</v>
      </c>
      <c r="B332" s="234"/>
      <c r="C332" s="234"/>
      <c r="D332" s="234"/>
      <c r="E332" s="234"/>
      <c r="F332" s="235"/>
      <c r="G332" s="236">
        <v>400000</v>
      </c>
      <c r="I332" s="236">
        <v>0</v>
      </c>
    </row>
    <row r="333" spans="1:9" ht="22.15" customHeight="1" x14ac:dyDescent="0.35">
      <c r="A333" s="262" t="s">
        <v>343</v>
      </c>
      <c r="B333" s="263"/>
      <c r="C333" s="263"/>
      <c r="D333" s="263"/>
      <c r="E333" s="263"/>
      <c r="F333" s="264"/>
      <c r="G333" s="236">
        <v>0</v>
      </c>
      <c r="I333" s="236">
        <v>325355.21999999997</v>
      </c>
    </row>
    <row r="334" spans="1:9" ht="22.15" customHeight="1" x14ac:dyDescent="0.35">
      <c r="A334" s="233" t="s">
        <v>375</v>
      </c>
      <c r="B334" s="234"/>
      <c r="C334" s="234"/>
      <c r="D334" s="234"/>
      <c r="E334" s="234"/>
      <c r="F334" s="235"/>
      <c r="G334" s="236">
        <v>0</v>
      </c>
      <c r="I334" s="236">
        <v>18421.12</v>
      </c>
    </row>
    <row r="335" spans="1:9" ht="22.15" customHeight="1" x14ac:dyDescent="0.35">
      <c r="A335" s="233" t="s">
        <v>401</v>
      </c>
      <c r="B335" s="234"/>
      <c r="C335" s="234"/>
      <c r="D335" s="234"/>
      <c r="E335" s="234"/>
      <c r="F335" s="235"/>
      <c r="G335" s="236"/>
      <c r="I335" s="236">
        <v>6555</v>
      </c>
    </row>
    <row r="336" spans="1:9" ht="22.15" customHeight="1" x14ac:dyDescent="0.35">
      <c r="A336" s="233" t="s">
        <v>428</v>
      </c>
      <c r="B336" s="234"/>
      <c r="C336" s="234"/>
      <c r="D336" s="234"/>
      <c r="E336" s="234"/>
      <c r="F336" s="235"/>
      <c r="G336" s="236">
        <v>890604.66</v>
      </c>
      <c r="I336" s="236">
        <v>273511.65999999997</v>
      </c>
    </row>
    <row r="337" spans="1:9" ht="22.15" customHeight="1" x14ac:dyDescent="0.35">
      <c r="A337" s="233" t="s">
        <v>376</v>
      </c>
      <c r="B337" s="234"/>
      <c r="C337" s="234"/>
      <c r="D337" s="234"/>
      <c r="E337" s="234"/>
      <c r="F337" s="235"/>
      <c r="G337" s="236">
        <v>301467.87</v>
      </c>
      <c r="I337" s="236">
        <v>0</v>
      </c>
    </row>
    <row r="338" spans="1:9" ht="22.15" customHeight="1" x14ac:dyDescent="0.35">
      <c r="A338" s="233" t="s">
        <v>426</v>
      </c>
      <c r="B338" s="234"/>
      <c r="C338" s="234"/>
      <c r="D338" s="234"/>
      <c r="E338" s="234"/>
      <c r="F338" s="235"/>
      <c r="G338" s="236">
        <v>78058</v>
      </c>
      <c r="I338" s="236">
        <v>37122</v>
      </c>
    </row>
    <row r="339" spans="1:9" ht="22.15" customHeight="1" x14ac:dyDescent="0.35">
      <c r="A339" s="233" t="s">
        <v>377</v>
      </c>
      <c r="B339" s="234"/>
      <c r="C339" s="234"/>
      <c r="D339" s="234"/>
      <c r="E339" s="234"/>
      <c r="F339" s="235"/>
      <c r="G339" s="236">
        <v>28059.29</v>
      </c>
      <c r="I339" s="236">
        <v>0</v>
      </c>
    </row>
    <row r="340" spans="1:9" ht="22.15" customHeight="1" x14ac:dyDescent="0.35">
      <c r="A340" s="233" t="s">
        <v>490</v>
      </c>
      <c r="B340" s="234"/>
      <c r="C340" s="234"/>
      <c r="D340" s="234"/>
      <c r="E340" s="234"/>
      <c r="F340" s="235"/>
      <c r="G340" s="236">
        <v>61020</v>
      </c>
      <c r="I340" s="236">
        <v>0</v>
      </c>
    </row>
    <row r="341" spans="1:9" ht="22.15" customHeight="1" x14ac:dyDescent="0.35">
      <c r="A341" s="233" t="s">
        <v>423</v>
      </c>
      <c r="B341" s="234"/>
      <c r="C341" s="234"/>
      <c r="D341" s="234"/>
      <c r="E341" s="234"/>
      <c r="F341" s="235"/>
      <c r="G341" s="236">
        <v>0</v>
      </c>
      <c r="I341" s="236">
        <v>433135.58</v>
      </c>
    </row>
    <row r="342" spans="1:9" ht="22.15" customHeight="1" x14ac:dyDescent="0.35">
      <c r="A342" s="233" t="s">
        <v>402</v>
      </c>
      <c r="B342" s="234"/>
      <c r="C342" s="234"/>
      <c r="D342" s="234"/>
      <c r="E342" s="234"/>
      <c r="F342" s="235"/>
      <c r="G342" s="236">
        <v>0</v>
      </c>
      <c r="I342" s="236">
        <v>124013.67</v>
      </c>
    </row>
    <row r="343" spans="1:9" ht="22.15" customHeight="1" x14ac:dyDescent="0.35">
      <c r="A343" s="233" t="s">
        <v>403</v>
      </c>
      <c r="B343" s="234"/>
      <c r="C343" s="234"/>
      <c r="D343" s="234"/>
      <c r="E343" s="234"/>
      <c r="F343" s="235"/>
      <c r="G343" s="236">
        <v>15602</v>
      </c>
      <c r="I343" s="236">
        <v>0</v>
      </c>
    </row>
    <row r="344" spans="1:9" ht="22.15" customHeight="1" x14ac:dyDescent="0.35">
      <c r="A344" s="233" t="s">
        <v>392</v>
      </c>
      <c r="B344" s="234"/>
      <c r="C344" s="234"/>
      <c r="D344" s="234"/>
      <c r="E344" s="234"/>
      <c r="F344" s="235"/>
      <c r="G344" s="236">
        <v>318269.40999999997</v>
      </c>
      <c r="I344" s="236">
        <v>67594.789999999994</v>
      </c>
    </row>
    <row r="345" spans="1:9" ht="22.15" customHeight="1" x14ac:dyDescent="0.35">
      <c r="A345" s="233" t="s">
        <v>487</v>
      </c>
      <c r="B345" s="234"/>
      <c r="C345" s="234"/>
      <c r="D345" s="234"/>
      <c r="E345" s="234"/>
      <c r="F345" s="235"/>
      <c r="G345" s="238">
        <v>323650.08</v>
      </c>
      <c r="I345" s="238">
        <v>0</v>
      </c>
    </row>
    <row r="346" spans="1:9" ht="22.15" customHeight="1" x14ac:dyDescent="0.35">
      <c r="A346" s="233" t="s">
        <v>491</v>
      </c>
      <c r="B346" s="234"/>
      <c r="C346" s="234"/>
      <c r="D346" s="234"/>
      <c r="E346" s="234"/>
      <c r="F346" s="235"/>
      <c r="G346" s="238">
        <v>3480000</v>
      </c>
      <c r="I346" s="238">
        <v>0</v>
      </c>
    </row>
    <row r="347" spans="1:9" ht="22.15" customHeight="1" x14ac:dyDescent="0.35">
      <c r="A347" s="262" t="s">
        <v>393</v>
      </c>
      <c r="B347" s="263"/>
      <c r="C347" s="263"/>
      <c r="D347" s="263"/>
      <c r="E347" s="263"/>
      <c r="F347" s="264"/>
      <c r="G347" s="236">
        <v>51920</v>
      </c>
      <c r="I347" s="236">
        <v>0</v>
      </c>
    </row>
    <row r="348" spans="1:9" ht="22.15" customHeight="1" x14ac:dyDescent="0.35">
      <c r="A348" s="262" t="s">
        <v>344</v>
      </c>
      <c r="B348" s="263"/>
      <c r="C348" s="263"/>
      <c r="D348" s="263"/>
      <c r="E348" s="263"/>
      <c r="F348" s="264"/>
      <c r="G348" s="236">
        <v>1550.04</v>
      </c>
      <c r="I348" s="236">
        <v>274380.15999999997</v>
      </c>
    </row>
    <row r="349" spans="1:9" ht="22.15" customHeight="1" x14ac:dyDescent="0.35">
      <c r="A349" s="233" t="s">
        <v>492</v>
      </c>
      <c r="B349" s="234"/>
      <c r="C349" s="234"/>
      <c r="D349" s="234"/>
      <c r="E349" s="234"/>
      <c r="F349" s="235"/>
      <c r="G349" s="236">
        <v>261440.86</v>
      </c>
      <c r="I349" s="236">
        <v>0</v>
      </c>
    </row>
    <row r="350" spans="1:9" ht="22.15" customHeight="1" x14ac:dyDescent="0.35">
      <c r="A350" s="233" t="s">
        <v>493</v>
      </c>
      <c r="B350" s="234"/>
      <c r="C350" s="234"/>
      <c r="D350" s="234"/>
      <c r="E350" s="234"/>
      <c r="F350" s="235"/>
      <c r="G350" s="236">
        <v>450794.08</v>
      </c>
      <c r="I350" s="236">
        <v>0</v>
      </c>
    </row>
    <row r="351" spans="1:9" ht="22.15" customHeight="1" x14ac:dyDescent="0.35">
      <c r="A351" s="233" t="s">
        <v>378</v>
      </c>
      <c r="B351" s="234"/>
      <c r="C351" s="234"/>
      <c r="D351" s="234"/>
      <c r="E351" s="234"/>
      <c r="F351" s="235"/>
      <c r="G351" s="236">
        <v>5053.93</v>
      </c>
      <c r="I351" s="236">
        <v>5053.93</v>
      </c>
    </row>
    <row r="352" spans="1:9" ht="22.15" customHeight="1" x14ac:dyDescent="0.35">
      <c r="A352" s="233" t="s">
        <v>494</v>
      </c>
      <c r="B352" s="234"/>
      <c r="C352" s="234"/>
      <c r="D352" s="234"/>
      <c r="E352" s="234"/>
      <c r="F352" s="235"/>
      <c r="G352" s="236">
        <v>3419.64</v>
      </c>
      <c r="I352" s="236">
        <v>0</v>
      </c>
    </row>
    <row r="353" spans="1:11" ht="22.15" customHeight="1" x14ac:dyDescent="0.35">
      <c r="A353" s="233" t="s">
        <v>404</v>
      </c>
      <c r="B353" s="234"/>
      <c r="C353" s="234"/>
      <c r="D353" s="234"/>
      <c r="E353" s="234"/>
      <c r="F353" s="235"/>
      <c r="G353" s="236">
        <v>0</v>
      </c>
      <c r="I353" s="236">
        <v>141961.9</v>
      </c>
    </row>
    <row r="354" spans="1:11" ht="22.15" customHeight="1" x14ac:dyDescent="0.35">
      <c r="A354" s="262" t="s">
        <v>345</v>
      </c>
      <c r="B354" s="263"/>
      <c r="C354" s="263"/>
      <c r="D354" s="263"/>
      <c r="E354" s="263"/>
      <c r="F354" s="264"/>
      <c r="G354" s="236">
        <v>762552.33</v>
      </c>
      <c r="I354" s="236">
        <v>443780.51</v>
      </c>
    </row>
    <row r="355" spans="1:11" ht="22.15" customHeight="1" x14ac:dyDescent="0.35">
      <c r="A355" s="262" t="s">
        <v>346</v>
      </c>
      <c r="B355" s="263"/>
      <c r="C355" s="263"/>
      <c r="D355" s="263"/>
      <c r="E355" s="263"/>
      <c r="F355" s="264"/>
      <c r="G355" s="236">
        <v>90363.67</v>
      </c>
      <c r="I355" s="236">
        <v>90363.68</v>
      </c>
    </row>
    <row r="356" spans="1:11" ht="22.15" customHeight="1" x14ac:dyDescent="0.35">
      <c r="A356" s="262" t="s">
        <v>495</v>
      </c>
      <c r="B356" s="263"/>
      <c r="C356" s="263"/>
      <c r="D356" s="263"/>
      <c r="E356" s="263"/>
      <c r="F356" s="264"/>
      <c r="G356" s="236">
        <v>594078.68000000005</v>
      </c>
      <c r="H356" s="183"/>
      <c r="I356" s="236">
        <v>0</v>
      </c>
    </row>
    <row r="357" spans="1:11" ht="22.15" customHeight="1" x14ac:dyDescent="0.35">
      <c r="A357" s="239" t="s">
        <v>147</v>
      </c>
      <c r="B357" s="239"/>
      <c r="C357" s="239"/>
      <c r="D357" s="239"/>
      <c r="E357" s="276"/>
      <c r="F357" s="277"/>
      <c r="G357" s="240">
        <f>SUM(G303:G356)</f>
        <v>22365639.839999996</v>
      </c>
      <c r="I357" s="240">
        <f>SUM(I303:I356)</f>
        <v>11056943.560000001</v>
      </c>
    </row>
    <row r="358" spans="1:11" ht="22.15" customHeight="1" x14ac:dyDescent="0.35">
      <c r="K358" s="13"/>
    </row>
    <row r="359" spans="1:11" ht="22.15" customHeight="1" x14ac:dyDescent="0.35">
      <c r="K359" s="13"/>
    </row>
    <row r="360" spans="1:11" ht="22.15" customHeight="1" x14ac:dyDescent="0.35">
      <c r="A360" s="182"/>
      <c r="B360" s="182"/>
      <c r="C360" s="182"/>
      <c r="K360" s="13"/>
    </row>
    <row r="361" spans="1:11" ht="22.15" customHeight="1" x14ac:dyDescent="0.35">
      <c r="A361" s="182" t="s">
        <v>43</v>
      </c>
      <c r="B361" s="182" t="s">
        <v>47</v>
      </c>
      <c r="C361" s="182"/>
      <c r="K361" s="13"/>
    </row>
    <row r="362" spans="1:11" ht="22.15" customHeight="1" x14ac:dyDescent="0.35">
      <c r="A362" s="182"/>
      <c r="B362" s="182"/>
      <c r="C362" s="182"/>
      <c r="K362" s="13"/>
    </row>
    <row r="363" spans="1:11" ht="22.15" customHeight="1" x14ac:dyDescent="0.35">
      <c r="K363" s="13"/>
    </row>
    <row r="364" spans="1:11" ht="22.15" customHeight="1" x14ac:dyDescent="0.35">
      <c r="A364" s="201" t="s">
        <v>454</v>
      </c>
      <c r="B364" s="201"/>
      <c r="C364" s="201"/>
      <c r="D364" s="201"/>
      <c r="E364" s="201"/>
      <c r="F364" s="201"/>
      <c r="G364" s="208"/>
      <c r="H364" s="208"/>
      <c r="I364" s="208"/>
      <c r="K364" s="13"/>
    </row>
    <row r="365" spans="1:11" ht="22.15" customHeight="1" x14ac:dyDescent="0.35">
      <c r="A365" s="201" t="s">
        <v>152</v>
      </c>
      <c r="B365" s="201"/>
      <c r="C365" s="201"/>
      <c r="K365" s="13"/>
    </row>
    <row r="366" spans="1:11" ht="22.15" customHeight="1" x14ac:dyDescent="0.35">
      <c r="A366" s="201"/>
      <c r="B366" s="201"/>
      <c r="C366" s="201"/>
      <c r="K366" s="13"/>
    </row>
    <row r="367" spans="1:11" ht="22.15" customHeight="1" x14ac:dyDescent="0.35">
      <c r="A367" s="265" t="s">
        <v>4</v>
      </c>
      <c r="B367" s="266"/>
      <c r="C367" s="266"/>
      <c r="D367" s="266"/>
      <c r="E367" s="266"/>
      <c r="F367" s="267"/>
      <c r="G367" s="209">
        <v>2025</v>
      </c>
      <c r="H367" s="204"/>
      <c r="I367" s="209">
        <v>2024</v>
      </c>
      <c r="K367" s="13"/>
    </row>
    <row r="368" spans="1:11" ht="22.15" customHeight="1" x14ac:dyDescent="0.35">
      <c r="A368" s="194" t="s">
        <v>48</v>
      </c>
      <c r="B368" s="190"/>
      <c r="C368" s="190"/>
      <c r="D368" s="190"/>
      <c r="E368" s="190"/>
      <c r="F368" s="191"/>
      <c r="G368" s="198">
        <v>434106.48</v>
      </c>
      <c r="H368" s="205"/>
      <c r="I368" s="198">
        <v>155298.82</v>
      </c>
      <c r="K368" s="13"/>
    </row>
    <row r="369" spans="1:11" ht="22.15" customHeight="1" x14ac:dyDescent="0.35">
      <c r="A369" s="194" t="s">
        <v>49</v>
      </c>
      <c r="B369" s="190"/>
      <c r="C369" s="190"/>
      <c r="D369" s="190"/>
      <c r="E369" s="190"/>
      <c r="F369" s="191"/>
      <c r="G369" s="198">
        <v>435414.15</v>
      </c>
      <c r="H369" s="205"/>
      <c r="I369" s="198">
        <v>203774.32</v>
      </c>
      <c r="J369" s="217"/>
    </row>
    <row r="370" spans="1:11" ht="22.15" hidden="1" customHeight="1" x14ac:dyDescent="0.35">
      <c r="A370" s="194" t="s">
        <v>177</v>
      </c>
      <c r="B370" s="190"/>
      <c r="C370" s="190"/>
      <c r="D370" s="190"/>
      <c r="E370" s="190"/>
      <c r="F370" s="191"/>
      <c r="G370" s="198"/>
      <c r="H370" s="205"/>
      <c r="I370" s="198"/>
    </row>
    <row r="371" spans="1:11" ht="22.15" customHeight="1" x14ac:dyDescent="0.35">
      <c r="A371" s="194" t="s">
        <v>158</v>
      </c>
      <c r="B371" s="190"/>
      <c r="C371" s="190"/>
      <c r="D371" s="190"/>
      <c r="E371" s="190"/>
      <c r="F371" s="191"/>
      <c r="G371" s="198">
        <v>1785798.89</v>
      </c>
      <c r="H371" s="205"/>
      <c r="I371" s="198">
        <v>1500000</v>
      </c>
    </row>
    <row r="372" spans="1:11" ht="22.15" customHeight="1" x14ac:dyDescent="0.35">
      <c r="A372" s="189" t="s">
        <v>50</v>
      </c>
      <c r="B372" s="190"/>
      <c r="C372" s="190"/>
      <c r="D372" s="190"/>
      <c r="E372" s="190"/>
      <c r="F372" s="191"/>
      <c r="G372" s="193">
        <f>SUM(G368:G371)</f>
        <v>2655319.52</v>
      </c>
      <c r="H372" s="204"/>
      <c r="I372" s="193">
        <f>SUM(I368:I371)</f>
        <v>1859073.1400000001</v>
      </c>
    </row>
    <row r="373" spans="1:11" ht="22.15" customHeight="1" x14ac:dyDescent="0.35"/>
    <row r="374" spans="1:11" ht="22.15" customHeight="1" x14ac:dyDescent="0.35">
      <c r="K374" s="13"/>
    </row>
    <row r="375" spans="1:11" ht="22.15" customHeight="1" x14ac:dyDescent="0.35">
      <c r="A375" s="182" t="s">
        <v>316</v>
      </c>
      <c r="K375" s="13"/>
    </row>
    <row r="376" spans="1:11" ht="22.15" customHeight="1" x14ac:dyDescent="0.35">
      <c r="A376" s="275"/>
      <c r="B376" s="275"/>
      <c r="C376" s="275"/>
      <c r="D376" s="275"/>
      <c r="E376" s="275"/>
      <c r="F376" s="275"/>
      <c r="G376" s="275"/>
      <c r="H376" s="275"/>
      <c r="I376" s="275"/>
      <c r="K376" s="13"/>
    </row>
    <row r="377" spans="1:11" ht="22.15" customHeight="1" x14ac:dyDescent="0.35">
      <c r="A377" s="174" t="s">
        <v>454</v>
      </c>
      <c r="J377" s="217"/>
    </row>
    <row r="378" spans="1:11" ht="22.15" customHeight="1" x14ac:dyDescent="0.35">
      <c r="A378" s="174" t="s">
        <v>152</v>
      </c>
      <c r="B378" s="188"/>
      <c r="C378" s="188"/>
      <c r="D378" s="228"/>
      <c r="E378" s="228"/>
    </row>
    <row r="379" spans="1:11" ht="22.15" customHeight="1" x14ac:dyDescent="0.35">
      <c r="B379" s="188"/>
      <c r="C379" s="188"/>
      <c r="D379" s="228"/>
      <c r="E379" s="228"/>
    </row>
    <row r="380" spans="1:11" ht="22.15" customHeight="1" x14ac:dyDescent="0.35">
      <c r="A380" s="265" t="s">
        <v>4</v>
      </c>
      <c r="B380" s="266"/>
      <c r="C380" s="266"/>
      <c r="D380" s="266"/>
      <c r="E380" s="266"/>
      <c r="F380" s="267"/>
      <c r="G380" s="209">
        <v>2025</v>
      </c>
      <c r="H380" s="204"/>
      <c r="I380" s="209">
        <v>2024</v>
      </c>
    </row>
    <row r="381" spans="1:11" ht="22.15" hidden="1" customHeight="1" x14ac:dyDescent="0.35">
      <c r="A381" s="194" t="s">
        <v>331</v>
      </c>
      <c r="B381" s="199"/>
      <c r="C381" s="199"/>
      <c r="D381" s="199"/>
      <c r="E381" s="199"/>
      <c r="F381" s="200"/>
      <c r="G381" s="198"/>
      <c r="H381" s="205"/>
      <c r="I381" s="198"/>
    </row>
    <row r="382" spans="1:11" ht="22.15" hidden="1" customHeight="1" x14ac:dyDescent="0.35">
      <c r="A382" s="194" t="s">
        <v>332</v>
      </c>
      <c r="B382" s="199"/>
      <c r="C382" s="199"/>
      <c r="D382" s="199"/>
      <c r="E382" s="199"/>
      <c r="F382" s="200"/>
      <c r="G382" s="198"/>
      <c r="H382" s="205"/>
      <c r="I382" s="198"/>
    </row>
    <row r="383" spans="1:11" ht="22.15" hidden="1" customHeight="1" x14ac:dyDescent="0.35">
      <c r="A383" s="194" t="s">
        <v>51</v>
      </c>
      <c r="B383" s="190"/>
      <c r="C383" s="190"/>
      <c r="D383" s="190"/>
      <c r="E383" s="190"/>
      <c r="F383" s="191"/>
      <c r="G383" s="198">
        <v>0</v>
      </c>
      <c r="H383" s="205"/>
      <c r="I383" s="198">
        <v>0</v>
      </c>
    </row>
    <row r="384" spans="1:11" ht="22.15" customHeight="1" x14ac:dyDescent="0.35">
      <c r="A384" s="194" t="s">
        <v>52</v>
      </c>
      <c r="B384" s="190"/>
      <c r="C384" s="190"/>
      <c r="D384" s="190"/>
      <c r="E384" s="190"/>
      <c r="F384" s="191"/>
      <c r="G384" s="198">
        <v>3057101.67</v>
      </c>
      <c r="H384" s="205"/>
      <c r="I384" s="198">
        <v>2803765.01</v>
      </c>
    </row>
    <row r="385" spans="1:11" ht="22.15" customHeight="1" x14ac:dyDescent="0.35">
      <c r="A385" s="194" t="s">
        <v>333</v>
      </c>
      <c r="B385" s="190"/>
      <c r="C385" s="190"/>
      <c r="D385" s="190"/>
      <c r="E385" s="190"/>
      <c r="F385" s="191"/>
      <c r="G385" s="198">
        <v>4974461.1100000003</v>
      </c>
      <c r="H385" s="205"/>
      <c r="I385" s="198">
        <v>4414483.9800000004</v>
      </c>
    </row>
    <row r="386" spans="1:11" ht="22.15" customHeight="1" x14ac:dyDescent="0.35">
      <c r="A386" s="194" t="s">
        <v>369</v>
      </c>
      <c r="B386" s="190"/>
      <c r="C386" s="190"/>
      <c r="D386" s="190"/>
      <c r="E386" s="190"/>
      <c r="F386" s="191"/>
      <c r="G386" s="198">
        <v>1431544.44</v>
      </c>
      <c r="H386" s="205"/>
      <c r="I386" s="198">
        <v>700966.67</v>
      </c>
    </row>
    <row r="387" spans="1:11" ht="22.15" customHeight="1" x14ac:dyDescent="0.35">
      <c r="A387" s="189" t="s">
        <v>53</v>
      </c>
      <c r="B387" s="190"/>
      <c r="C387" s="190"/>
      <c r="D387" s="190"/>
      <c r="E387" s="190"/>
      <c r="F387" s="191"/>
      <c r="G387" s="193">
        <f>SUM(G381:G386)</f>
        <v>9463107.2200000007</v>
      </c>
      <c r="H387" s="204"/>
      <c r="I387" s="193">
        <f>SUM(I381:I386)</f>
        <v>7919215.6600000001</v>
      </c>
    </row>
    <row r="388" spans="1:11" ht="22.15" customHeight="1" x14ac:dyDescent="0.35">
      <c r="A388" s="196"/>
      <c r="B388" s="196"/>
      <c r="C388" s="196"/>
      <c r="D388" s="196"/>
      <c r="E388" s="196"/>
      <c r="F388" s="196"/>
      <c r="G388" s="230"/>
      <c r="H388" s="204"/>
      <c r="I388" s="230"/>
    </row>
    <row r="389" spans="1:11" ht="22.15" customHeight="1" x14ac:dyDescent="0.35">
      <c r="A389" s="196"/>
      <c r="B389" s="196"/>
      <c r="C389" s="196"/>
      <c r="D389" s="196"/>
      <c r="E389" s="196"/>
      <c r="F389" s="196"/>
      <c r="G389" s="230"/>
      <c r="H389" s="204"/>
      <c r="I389" s="230"/>
    </row>
    <row r="390" spans="1:11" ht="22.15" customHeight="1" x14ac:dyDescent="0.35">
      <c r="A390" s="196"/>
      <c r="B390" s="196"/>
      <c r="C390" s="196"/>
      <c r="D390" s="196"/>
      <c r="E390" s="196"/>
      <c r="F390" s="196"/>
      <c r="G390" s="230"/>
      <c r="H390" s="204"/>
      <c r="I390" s="230"/>
    </row>
    <row r="391" spans="1:11" ht="22.15" customHeight="1" x14ac:dyDescent="0.35">
      <c r="A391" s="196"/>
      <c r="B391" s="196"/>
      <c r="C391" s="196"/>
      <c r="D391" s="196"/>
      <c r="E391" s="196"/>
      <c r="F391" s="196"/>
      <c r="G391" s="230"/>
      <c r="H391" s="204"/>
      <c r="I391" s="230"/>
    </row>
    <row r="392" spans="1:11" ht="22.15" customHeight="1" x14ac:dyDescent="0.35">
      <c r="A392" s="196"/>
      <c r="B392" s="196"/>
      <c r="C392" s="196"/>
      <c r="D392" s="196"/>
      <c r="E392" s="196"/>
      <c r="F392" s="196"/>
      <c r="G392" s="230"/>
      <c r="H392" s="204"/>
      <c r="I392" s="230"/>
    </row>
    <row r="393" spans="1:11" ht="22.15" customHeight="1" x14ac:dyDescent="0.35">
      <c r="A393" s="182" t="s">
        <v>315</v>
      </c>
      <c r="B393" s="182" t="s">
        <v>357</v>
      </c>
      <c r="C393" s="182"/>
      <c r="D393" s="182"/>
      <c r="E393" s="196"/>
      <c r="F393" s="196"/>
      <c r="G393" s="230"/>
      <c r="H393" s="204"/>
      <c r="I393" s="230"/>
      <c r="K393" s="13"/>
    </row>
    <row r="394" spans="1:11" ht="22.15" customHeight="1" x14ac:dyDescent="0.35">
      <c r="B394" s="188"/>
      <c r="C394" s="188"/>
      <c r="D394" s="188"/>
      <c r="E394" s="188"/>
      <c r="K394" s="13"/>
    </row>
    <row r="395" spans="1:11" ht="22.15" customHeight="1" x14ac:dyDescent="0.35">
      <c r="A395" s="174" t="s">
        <v>390</v>
      </c>
      <c r="K395" s="13"/>
    </row>
    <row r="396" spans="1:11" ht="22.15" customHeight="1" x14ac:dyDescent="0.35">
      <c r="A396" s="174" t="s">
        <v>455</v>
      </c>
      <c r="J396" s="217"/>
    </row>
    <row r="397" spans="1:11" ht="22.15" customHeight="1" x14ac:dyDescent="0.35">
      <c r="J397" s="217"/>
    </row>
    <row r="398" spans="1:11" ht="22.15" customHeight="1" x14ac:dyDescent="0.35">
      <c r="A398" s="265" t="s">
        <v>4</v>
      </c>
      <c r="B398" s="266"/>
      <c r="C398" s="266"/>
      <c r="D398" s="266"/>
      <c r="E398" s="266"/>
      <c r="F398" s="267"/>
      <c r="G398" s="209">
        <v>2025</v>
      </c>
      <c r="H398" s="204"/>
      <c r="I398" s="209">
        <v>2024</v>
      </c>
    </row>
    <row r="399" spans="1:11" ht="22.15" customHeight="1" x14ac:dyDescent="0.35">
      <c r="A399" s="231" t="s">
        <v>414</v>
      </c>
      <c r="B399" s="231"/>
      <c r="C399" s="232"/>
      <c r="D399" s="232"/>
      <c r="E399" s="232"/>
      <c r="F399" s="242"/>
      <c r="G399" s="198">
        <v>4382077.5199999996</v>
      </c>
      <c r="H399" s="205"/>
      <c r="I399" s="198">
        <v>6753971.3499999996</v>
      </c>
    </row>
    <row r="400" spans="1:11" ht="22.15" customHeight="1" x14ac:dyDescent="0.35">
      <c r="A400" s="243" t="s">
        <v>358</v>
      </c>
      <c r="B400" s="239"/>
      <c r="C400" s="239"/>
      <c r="D400" s="239"/>
      <c r="E400" s="239"/>
      <c r="F400" s="244"/>
      <c r="G400" s="193">
        <f>SUM(G399:G399)</f>
        <v>4382077.5199999996</v>
      </c>
      <c r="H400" s="204"/>
      <c r="I400" s="193">
        <f>SUM(I399:I399)</f>
        <v>6753971.3499999996</v>
      </c>
    </row>
    <row r="401" spans="1:11" ht="22.15" customHeight="1" x14ac:dyDescent="0.35">
      <c r="B401" s="188"/>
      <c r="C401" s="188"/>
      <c r="D401" s="188"/>
      <c r="E401" s="188"/>
      <c r="F401" s="188"/>
      <c r="G401" s="245"/>
      <c r="H401" s="203"/>
      <c r="I401" s="85"/>
    </row>
    <row r="402" spans="1:11" ht="22.15" customHeight="1" x14ac:dyDescent="0.35">
      <c r="B402" s="188"/>
      <c r="C402" s="188"/>
      <c r="D402" s="188"/>
      <c r="E402" s="188"/>
      <c r="F402" s="188"/>
      <c r="G402" s="203"/>
      <c r="H402" s="203"/>
    </row>
    <row r="403" spans="1:11" ht="22.15" customHeight="1" x14ac:dyDescent="0.35">
      <c r="B403" s="188"/>
      <c r="C403" s="188"/>
      <c r="D403" s="188"/>
      <c r="E403" s="188"/>
      <c r="F403" s="188"/>
      <c r="G403" s="203"/>
      <c r="H403" s="203"/>
    </row>
    <row r="404" spans="1:11" ht="22.15" customHeight="1" x14ac:dyDescent="0.35">
      <c r="B404" s="188"/>
      <c r="C404" s="188"/>
      <c r="D404" s="188"/>
      <c r="E404" s="188"/>
      <c r="F404" s="188"/>
      <c r="G404" s="203"/>
      <c r="H404" s="203"/>
    </row>
    <row r="405" spans="1:11" ht="22.15" customHeight="1" x14ac:dyDescent="0.35">
      <c r="B405" s="188"/>
      <c r="C405" s="188"/>
      <c r="D405" s="188"/>
      <c r="E405" s="188"/>
      <c r="F405" s="188"/>
      <c r="G405" s="203"/>
      <c r="H405" s="203"/>
    </row>
    <row r="406" spans="1:11" ht="22.15" customHeight="1" x14ac:dyDescent="0.35">
      <c r="B406" s="188"/>
      <c r="C406" s="188"/>
      <c r="D406" s="188"/>
      <c r="E406" s="188"/>
      <c r="F406" s="188"/>
      <c r="G406" s="203"/>
      <c r="H406" s="203"/>
      <c r="K406" s="13"/>
    </row>
    <row r="407" spans="1:11" ht="22.15" customHeight="1" x14ac:dyDescent="0.35">
      <c r="A407" s="182" t="s">
        <v>314</v>
      </c>
      <c r="B407" s="188"/>
      <c r="C407" s="188"/>
      <c r="D407" s="188"/>
      <c r="E407" s="188"/>
      <c r="K407" s="13"/>
    </row>
    <row r="408" spans="1:11" ht="22.15" customHeight="1" x14ac:dyDescent="0.35">
      <c r="B408" s="188"/>
      <c r="C408" s="188"/>
      <c r="D408" s="188"/>
      <c r="E408" s="188"/>
      <c r="F408" s="188"/>
      <c r="G408" s="203"/>
      <c r="H408" s="203"/>
    </row>
    <row r="409" spans="1:11" ht="22.15" customHeight="1" x14ac:dyDescent="0.35">
      <c r="A409" s="174" t="s">
        <v>456</v>
      </c>
      <c r="B409" s="188"/>
      <c r="C409" s="188"/>
      <c r="D409" s="188"/>
      <c r="E409" s="188"/>
      <c r="F409" s="188"/>
      <c r="G409" s="203"/>
      <c r="H409" s="203"/>
    </row>
    <row r="410" spans="1:11" ht="22.15" customHeight="1" x14ac:dyDescent="0.35">
      <c r="A410" s="174" t="s">
        <v>152</v>
      </c>
    </row>
    <row r="411" spans="1:11" ht="22.15" customHeight="1" x14ac:dyDescent="0.35"/>
    <row r="412" spans="1:11" ht="22.15" customHeight="1" x14ac:dyDescent="0.35">
      <c r="A412" s="265" t="s">
        <v>4</v>
      </c>
      <c r="B412" s="266"/>
      <c r="C412" s="266"/>
      <c r="D412" s="266"/>
      <c r="E412" s="266"/>
      <c r="F412" s="267"/>
      <c r="G412" s="209">
        <v>2025</v>
      </c>
      <c r="H412" s="204"/>
      <c r="I412" s="209">
        <v>2024</v>
      </c>
    </row>
    <row r="413" spans="1:11" ht="22.15" customHeight="1" x14ac:dyDescent="0.35">
      <c r="A413" s="231" t="s">
        <v>359</v>
      </c>
      <c r="B413" s="232"/>
      <c r="C413" s="232"/>
      <c r="D413" s="232"/>
      <c r="E413" s="232"/>
      <c r="F413" s="242"/>
      <c r="G413" s="198">
        <v>9098262.5800000001</v>
      </c>
      <c r="H413" s="205"/>
      <c r="I413" s="198">
        <v>8310874.5999999996</v>
      </c>
    </row>
    <row r="414" spans="1:11" ht="22.15" customHeight="1" x14ac:dyDescent="0.35">
      <c r="A414" s="243" t="s">
        <v>148</v>
      </c>
      <c r="B414" s="239"/>
      <c r="C414" s="239"/>
      <c r="D414" s="239"/>
      <c r="E414" s="239"/>
      <c r="F414" s="244"/>
      <c r="G414" s="193">
        <f>SUM(G413)</f>
        <v>9098262.5800000001</v>
      </c>
      <c r="H414" s="204"/>
      <c r="I414" s="193">
        <f>SUM(I413)</f>
        <v>8310874.5999999996</v>
      </c>
    </row>
    <row r="415" spans="1:11" ht="22.15" customHeight="1" x14ac:dyDescent="0.35"/>
    <row r="416" spans="1:11" ht="22.15" customHeight="1" x14ac:dyDescent="0.35">
      <c r="A416" s="207"/>
      <c r="B416" s="207"/>
      <c r="C416" s="207"/>
      <c r="D416" s="207"/>
      <c r="E416" s="207"/>
      <c r="F416" s="207"/>
      <c r="G416" s="207"/>
      <c r="H416" s="207"/>
      <c r="I416" s="207"/>
    </row>
    <row r="417" spans="1:12" ht="22.15" customHeight="1" x14ac:dyDescent="0.35">
      <c r="A417" s="207"/>
      <c r="B417" s="207"/>
      <c r="C417" s="207"/>
      <c r="D417" s="207"/>
      <c r="E417" s="207"/>
      <c r="F417" s="207"/>
      <c r="G417" s="207"/>
      <c r="H417" s="207"/>
      <c r="I417" s="207"/>
    </row>
    <row r="418" spans="1:12" ht="22.15" customHeight="1" x14ac:dyDescent="0.35">
      <c r="A418" s="207"/>
      <c r="B418" s="207"/>
      <c r="C418" s="207"/>
      <c r="D418" s="207"/>
      <c r="E418" s="207"/>
      <c r="F418" s="207"/>
      <c r="G418" s="207"/>
      <c r="H418" s="207"/>
      <c r="I418" s="207"/>
    </row>
    <row r="419" spans="1:12" ht="22.15" customHeight="1" x14ac:dyDescent="0.35">
      <c r="A419" s="207"/>
      <c r="B419" s="207"/>
      <c r="C419" s="207"/>
      <c r="D419" s="207"/>
      <c r="E419" s="207"/>
      <c r="F419" s="207"/>
      <c r="G419" s="207"/>
      <c r="H419" s="207"/>
      <c r="I419" s="207"/>
    </row>
    <row r="420" spans="1:12" ht="22.15" customHeight="1" x14ac:dyDescent="0.35">
      <c r="A420" s="182" t="s">
        <v>54</v>
      </c>
      <c r="B420" s="182" t="s">
        <v>56</v>
      </c>
      <c r="C420" s="182"/>
      <c r="D420" s="182"/>
      <c r="K420" s="13"/>
    </row>
    <row r="421" spans="1:12" ht="22.15" customHeight="1" x14ac:dyDescent="0.35">
      <c r="A421" s="182"/>
      <c r="B421" s="182"/>
      <c r="C421" s="182"/>
      <c r="D421" s="182"/>
      <c r="K421" s="13"/>
    </row>
    <row r="422" spans="1:12" ht="22.15" customHeight="1" x14ac:dyDescent="0.35">
      <c r="A422" s="174" t="s">
        <v>457</v>
      </c>
      <c r="B422" s="188"/>
      <c r="C422" s="188"/>
      <c r="K422" s="13"/>
    </row>
    <row r="423" spans="1:12" ht="22.15" customHeight="1" x14ac:dyDescent="0.35">
      <c r="B423" s="188"/>
      <c r="C423" s="188"/>
      <c r="K423" s="13"/>
    </row>
    <row r="424" spans="1:12" ht="22.15" customHeight="1" x14ac:dyDescent="0.35">
      <c r="E424" s="201"/>
      <c r="F424" s="201"/>
      <c r="G424" s="208"/>
      <c r="H424" s="208"/>
      <c r="I424" s="208"/>
      <c r="K424" s="13"/>
    </row>
    <row r="425" spans="1:12" ht="22.15" customHeight="1" x14ac:dyDescent="0.35">
      <c r="A425" s="265" t="s">
        <v>4</v>
      </c>
      <c r="B425" s="266"/>
      <c r="C425" s="266"/>
      <c r="D425" s="266"/>
      <c r="E425" s="266"/>
      <c r="F425" s="267"/>
      <c r="G425" s="209">
        <v>2025</v>
      </c>
      <c r="H425" s="204"/>
      <c r="I425" s="209">
        <v>2024</v>
      </c>
      <c r="K425" s="13"/>
    </row>
    <row r="426" spans="1:12" ht="22.15" customHeight="1" x14ac:dyDescent="0.35">
      <c r="A426" s="231" t="s">
        <v>57</v>
      </c>
      <c r="B426" s="232"/>
      <c r="C426" s="232"/>
      <c r="D426" s="232"/>
      <c r="E426" s="232"/>
      <c r="F426" s="242"/>
      <c r="G426" s="198">
        <v>46598840.5</v>
      </c>
      <c r="H426" s="205"/>
      <c r="I426" s="198">
        <v>46598840.5</v>
      </c>
      <c r="K426" s="13"/>
    </row>
    <row r="427" spans="1:12" ht="22.15" customHeight="1" x14ac:dyDescent="0.35">
      <c r="A427" s="194" t="s">
        <v>58</v>
      </c>
      <c r="B427" s="190"/>
      <c r="C427" s="190"/>
      <c r="D427" s="190"/>
      <c r="E427" s="190"/>
      <c r="F427" s="191"/>
      <c r="G427" s="198">
        <v>-48974669.719999999</v>
      </c>
      <c r="H427" s="205"/>
      <c r="I427" s="198">
        <v>-4704321.13</v>
      </c>
      <c r="J427" s="217"/>
      <c r="K427" s="13"/>
    </row>
    <row r="428" spans="1:12" ht="22.15" customHeight="1" x14ac:dyDescent="0.35">
      <c r="A428" s="231" t="s">
        <v>59</v>
      </c>
      <c r="B428" s="232"/>
      <c r="C428" s="232"/>
      <c r="D428" s="232"/>
      <c r="E428" s="232"/>
      <c r="F428" s="242"/>
      <c r="G428" s="198">
        <f>94457549.14-4704321.13</f>
        <v>89753228.010000005</v>
      </c>
      <c r="H428" s="204"/>
      <c r="I428" s="198">
        <f>104935844.34-10478295.2</f>
        <v>94457549.140000001</v>
      </c>
      <c r="K428" s="13"/>
    </row>
    <row r="429" spans="1:12" ht="22.15" customHeight="1" x14ac:dyDescent="0.35">
      <c r="A429" s="243" t="s">
        <v>60</v>
      </c>
      <c r="B429" s="239"/>
      <c r="C429" s="239"/>
      <c r="D429" s="239"/>
      <c r="E429" s="239"/>
      <c r="F429" s="244"/>
      <c r="G429" s="193">
        <f>SUM(G426:G428)</f>
        <v>87377398.790000007</v>
      </c>
      <c r="H429" s="204"/>
      <c r="I429" s="193">
        <f>SUM(I426:I428)</f>
        <v>136352068.50999999</v>
      </c>
      <c r="J429" s="16"/>
      <c r="K429" s="16"/>
      <c r="L429" s="16"/>
    </row>
    <row r="430" spans="1:12" ht="22.15" customHeight="1" x14ac:dyDescent="0.35">
      <c r="A430" s="182"/>
      <c r="B430" s="182"/>
      <c r="C430" s="182"/>
      <c r="D430" s="182"/>
      <c r="E430" s="182"/>
      <c r="F430" s="182"/>
      <c r="G430" s="230"/>
      <c r="H430" s="204"/>
      <c r="I430" s="230"/>
    </row>
    <row r="431" spans="1:12" ht="22.15" customHeight="1" x14ac:dyDescent="0.35">
      <c r="A431" s="182"/>
      <c r="B431" s="182"/>
      <c r="C431" s="182"/>
      <c r="D431" s="182"/>
      <c r="E431" s="182"/>
      <c r="F431" s="182"/>
      <c r="G431" s="230"/>
      <c r="H431" s="204"/>
      <c r="I431" s="230"/>
    </row>
    <row r="432" spans="1:12" ht="22.15" customHeight="1" x14ac:dyDescent="0.35">
      <c r="A432" s="182"/>
      <c r="B432" s="182"/>
      <c r="C432" s="182"/>
      <c r="D432" s="182" t="s">
        <v>5</v>
      </c>
      <c r="E432" s="182"/>
      <c r="F432" s="182"/>
      <c r="G432" s="230"/>
      <c r="H432" s="204"/>
      <c r="I432" s="230" t="s">
        <v>5</v>
      </c>
    </row>
    <row r="433" spans="1:11" ht="22.15" customHeight="1" x14ac:dyDescent="0.35">
      <c r="A433" s="182"/>
      <c r="B433" s="182"/>
      <c r="C433" s="182"/>
      <c r="D433" s="182"/>
      <c r="E433" s="182"/>
      <c r="F433" s="183"/>
      <c r="G433" s="230"/>
      <c r="H433" s="204"/>
      <c r="I433" s="230"/>
      <c r="K433" s="13"/>
    </row>
    <row r="434" spans="1:11" ht="22.15" customHeight="1" x14ac:dyDescent="0.35">
      <c r="A434" s="182" t="s">
        <v>55</v>
      </c>
      <c r="B434" s="182" t="s">
        <v>285</v>
      </c>
      <c r="C434" s="182"/>
      <c r="D434" s="182"/>
      <c r="E434" s="246"/>
      <c r="F434" s="16"/>
      <c r="G434" s="16"/>
      <c r="H434" s="16"/>
      <c r="I434" s="16"/>
      <c r="K434" s="13"/>
    </row>
    <row r="435" spans="1:11" ht="22.15" customHeight="1" x14ac:dyDescent="0.35">
      <c r="B435" s="188"/>
      <c r="C435" s="188"/>
      <c r="K435" s="13"/>
    </row>
    <row r="436" spans="1:11" ht="22.15" customHeight="1" x14ac:dyDescent="0.35">
      <c r="B436" s="188"/>
      <c r="C436" s="188"/>
      <c r="K436" s="13"/>
    </row>
    <row r="437" spans="1:11" ht="22.15" customHeight="1" x14ac:dyDescent="0.35">
      <c r="A437" s="174" t="s">
        <v>459</v>
      </c>
      <c r="B437" s="188"/>
      <c r="C437" s="188"/>
      <c r="K437" s="13"/>
    </row>
    <row r="438" spans="1:11" ht="22.15" customHeight="1" x14ac:dyDescent="0.35">
      <c r="A438" s="174" t="s">
        <v>458</v>
      </c>
      <c r="B438" s="182"/>
      <c r="C438" s="182"/>
      <c r="D438" s="182"/>
      <c r="E438" s="182"/>
      <c r="F438" s="182"/>
      <c r="G438" s="230"/>
      <c r="H438" s="204"/>
      <c r="I438" s="230"/>
      <c r="K438" s="13"/>
    </row>
    <row r="439" spans="1:11" ht="22.15" customHeight="1" x14ac:dyDescent="0.35">
      <c r="B439" s="182"/>
      <c r="C439" s="182"/>
      <c r="D439" s="182"/>
      <c r="E439" s="182"/>
      <c r="F439" s="182"/>
      <c r="G439" s="230"/>
      <c r="H439" s="204"/>
      <c r="I439" s="230"/>
      <c r="K439" s="13"/>
    </row>
    <row r="440" spans="1:11" ht="22.15" customHeight="1" x14ac:dyDescent="0.35">
      <c r="A440" s="265" t="s">
        <v>4</v>
      </c>
      <c r="B440" s="266"/>
      <c r="C440" s="266"/>
      <c r="D440" s="266"/>
      <c r="E440" s="266"/>
      <c r="F440" s="267"/>
      <c r="G440" s="209">
        <v>2025</v>
      </c>
      <c r="H440" s="204"/>
      <c r="I440" s="209">
        <v>2024</v>
      </c>
      <c r="K440" s="13"/>
    </row>
    <row r="441" spans="1:11" ht="22.15" customHeight="1" x14ac:dyDescent="0.35">
      <c r="A441" s="231" t="s">
        <v>61</v>
      </c>
      <c r="B441" s="232"/>
      <c r="C441" s="232"/>
      <c r="D441" s="232"/>
      <c r="E441" s="232"/>
      <c r="F441" s="242"/>
      <c r="G441" s="198">
        <f>251114392.54-4500000-67478628-39949.65</f>
        <v>179095814.88999999</v>
      </c>
      <c r="H441" s="205"/>
      <c r="I441" s="198">
        <f>260337144.86-120477.57-92478631</f>
        <v>167738036.29000002</v>
      </c>
      <c r="K441" s="13"/>
    </row>
    <row r="442" spans="1:11" ht="22.15" customHeight="1" x14ac:dyDescent="0.35">
      <c r="A442" s="231" t="s">
        <v>413</v>
      </c>
      <c r="B442" s="232"/>
      <c r="C442" s="232"/>
      <c r="D442" s="232"/>
      <c r="E442" s="232"/>
      <c r="F442" s="242"/>
      <c r="G442" s="198">
        <v>39949.65</v>
      </c>
      <c r="H442" s="205"/>
      <c r="I442" s="198">
        <v>120477.57</v>
      </c>
      <c r="K442" s="13"/>
    </row>
    <row r="443" spans="1:11" ht="22.15" customHeight="1" x14ac:dyDescent="0.35">
      <c r="A443" s="243" t="s">
        <v>287</v>
      </c>
      <c r="B443" s="239"/>
      <c r="C443" s="239"/>
      <c r="D443" s="239"/>
      <c r="E443" s="239"/>
      <c r="F443" s="244"/>
      <c r="G443" s="193">
        <f>SUM(G441:G442)</f>
        <v>179135764.53999999</v>
      </c>
      <c r="H443" s="204"/>
      <c r="I443" s="193">
        <f>SUM(I441:I442)</f>
        <v>167858513.86000001</v>
      </c>
      <c r="K443" s="13">
        <v>165668776.91</v>
      </c>
    </row>
    <row r="444" spans="1:11" ht="22.15" customHeight="1" x14ac:dyDescent="0.35">
      <c r="A444" s="182"/>
      <c r="B444" s="182"/>
      <c r="C444" s="182"/>
      <c r="D444" s="182"/>
      <c r="E444" s="182"/>
      <c r="F444" s="182"/>
      <c r="G444" s="230"/>
      <c r="H444" s="204"/>
      <c r="I444" s="230"/>
      <c r="K444" s="13">
        <v>120477.51</v>
      </c>
    </row>
    <row r="445" spans="1:11" ht="22.15" customHeight="1" x14ac:dyDescent="0.35">
      <c r="A445" s="182"/>
      <c r="B445" s="182"/>
      <c r="C445" s="182"/>
      <c r="D445" s="182"/>
      <c r="E445" s="182"/>
      <c r="F445" s="182"/>
      <c r="G445" s="230"/>
      <c r="H445" s="204"/>
      <c r="I445" s="230"/>
      <c r="K445" s="13">
        <f>SUM(K443:K444)</f>
        <v>165789254.41999999</v>
      </c>
    </row>
    <row r="446" spans="1:11" ht="22.15" customHeight="1" x14ac:dyDescent="0.35">
      <c r="A446" s="182"/>
      <c r="B446" s="182"/>
      <c r="C446" s="182"/>
      <c r="D446" s="182"/>
      <c r="E446" s="182"/>
      <c r="F446" s="182"/>
      <c r="G446" s="230"/>
      <c r="H446" s="204"/>
      <c r="I446" s="230"/>
      <c r="K446" s="13">
        <f>+G458</f>
        <v>71978628</v>
      </c>
    </row>
    <row r="447" spans="1:11" ht="22.15" customHeight="1" x14ac:dyDescent="0.35">
      <c r="A447" s="182"/>
      <c r="B447" s="182"/>
      <c r="C447" s="182"/>
      <c r="D447" s="182"/>
      <c r="E447" s="182"/>
      <c r="F447" s="182"/>
      <c r="G447" s="230"/>
      <c r="H447" s="204"/>
      <c r="I447" s="230"/>
      <c r="K447" s="13">
        <f>SUM(K445:K446)</f>
        <v>237767882.41999999</v>
      </c>
    </row>
    <row r="448" spans="1:11" ht="22.15" customHeight="1" x14ac:dyDescent="0.35">
      <c r="A448" s="182" t="s">
        <v>313</v>
      </c>
      <c r="B448" s="182" t="s">
        <v>62</v>
      </c>
      <c r="C448" s="182"/>
      <c r="D448" s="182"/>
      <c r="E448" s="182"/>
      <c r="F448" s="182"/>
      <c r="G448" s="230"/>
      <c r="H448" s="204"/>
      <c r="I448" s="230"/>
      <c r="K448" s="13"/>
    </row>
    <row r="449" spans="1:11" ht="22.15" customHeight="1" x14ac:dyDescent="0.35">
      <c r="A449" s="182"/>
      <c r="B449" s="182"/>
      <c r="C449" s="182"/>
      <c r="D449" s="182"/>
      <c r="E449" s="182"/>
      <c r="F449" s="182"/>
      <c r="G449" s="230"/>
      <c r="H449" s="204"/>
      <c r="I449" s="230"/>
      <c r="K449" s="13"/>
    </row>
    <row r="450" spans="1:11" ht="22.15" customHeight="1" x14ac:dyDescent="0.35">
      <c r="A450" s="182"/>
      <c r="B450" s="182"/>
      <c r="C450" s="182"/>
      <c r="D450" s="182"/>
      <c r="E450" s="182"/>
      <c r="F450" s="182"/>
      <c r="G450" s="230"/>
      <c r="H450" s="204"/>
      <c r="I450" s="230"/>
      <c r="K450" s="13"/>
    </row>
    <row r="451" spans="1:11" ht="22.15" customHeight="1" x14ac:dyDescent="0.35">
      <c r="A451" s="174" t="s">
        <v>286</v>
      </c>
      <c r="G451" s="247"/>
      <c r="H451" s="205"/>
      <c r="I451" s="247"/>
      <c r="K451" s="13"/>
    </row>
    <row r="452" spans="1:11" ht="22.15" customHeight="1" x14ac:dyDescent="0.35">
      <c r="A452" s="174" t="s">
        <v>460</v>
      </c>
      <c r="B452" s="182"/>
      <c r="C452" s="182"/>
      <c r="D452" s="182"/>
      <c r="E452" s="182"/>
      <c r="F452" s="182"/>
      <c r="G452" s="230"/>
      <c r="H452" s="204"/>
      <c r="I452" s="230"/>
      <c r="K452" s="13"/>
    </row>
    <row r="453" spans="1:11" ht="22.15" customHeight="1" x14ac:dyDescent="0.35">
      <c r="A453" s="182"/>
      <c r="B453" s="182"/>
      <c r="C453" s="182"/>
      <c r="D453" s="182"/>
      <c r="E453" s="182"/>
      <c r="F453" s="182"/>
      <c r="G453" s="230"/>
      <c r="H453" s="204"/>
      <c r="I453" s="230"/>
      <c r="K453" s="13"/>
    </row>
    <row r="454" spans="1:11" ht="22.15" customHeight="1" x14ac:dyDescent="0.35">
      <c r="A454" s="265" t="s">
        <v>4</v>
      </c>
      <c r="B454" s="266"/>
      <c r="C454" s="266"/>
      <c r="D454" s="266"/>
      <c r="E454" s="266"/>
      <c r="F454" s="267"/>
      <c r="G454" s="209">
        <v>2025</v>
      </c>
      <c r="H454" s="204"/>
      <c r="I454" s="209">
        <v>2024</v>
      </c>
      <c r="K454" s="13"/>
    </row>
    <row r="455" spans="1:11" ht="22.15" customHeight="1" x14ac:dyDescent="0.35">
      <c r="A455" s="231" t="s">
        <v>481</v>
      </c>
      <c r="B455" s="232"/>
      <c r="C455" s="232"/>
      <c r="D455" s="232"/>
      <c r="E455" s="232"/>
      <c r="F455" s="242"/>
      <c r="G455" s="198">
        <v>67478628</v>
      </c>
      <c r="H455" s="205"/>
      <c r="I455" s="198">
        <v>67478631</v>
      </c>
      <c r="K455" s="13"/>
    </row>
    <row r="456" spans="1:11" ht="22.15" customHeight="1" x14ac:dyDescent="0.35">
      <c r="A456" s="231" t="s">
        <v>412</v>
      </c>
      <c r="B456" s="232"/>
      <c r="C456" s="232"/>
      <c r="D456" s="232"/>
      <c r="E456" s="232"/>
      <c r="F456" s="242"/>
      <c r="G456" s="198">
        <v>0</v>
      </c>
      <c r="H456" s="205"/>
      <c r="I456" s="198">
        <v>20000000</v>
      </c>
      <c r="K456" s="13"/>
    </row>
    <row r="457" spans="1:11" ht="22.15" customHeight="1" x14ac:dyDescent="0.35">
      <c r="A457" s="231" t="s">
        <v>361</v>
      </c>
      <c r="B457" s="232"/>
      <c r="C457" s="232"/>
      <c r="D457" s="232"/>
      <c r="E457" s="232"/>
      <c r="F457" s="242"/>
      <c r="G457" s="198">
        <v>4500000</v>
      </c>
      <c r="H457" s="205"/>
      <c r="I457" s="198">
        <v>5000000</v>
      </c>
    </row>
    <row r="458" spans="1:11" ht="22.15" customHeight="1" x14ac:dyDescent="0.35">
      <c r="A458" s="243" t="s">
        <v>63</v>
      </c>
      <c r="B458" s="239"/>
      <c r="C458" s="239"/>
      <c r="D458" s="239"/>
      <c r="E458" s="239"/>
      <c r="F458" s="244"/>
      <c r="G458" s="193">
        <f>SUM(G455:G457)</f>
        <v>71978628</v>
      </c>
      <c r="H458" s="204"/>
      <c r="I458" s="193">
        <f>SUM(I455:I457)</f>
        <v>92478631</v>
      </c>
    </row>
    <row r="459" spans="1:11" ht="22.15" customHeight="1" x14ac:dyDescent="0.35">
      <c r="K459" s="12">
        <f>+G458+G443</f>
        <v>251114392.53999999</v>
      </c>
    </row>
    <row r="460" spans="1:11" ht="22.15" customHeight="1" x14ac:dyDescent="0.35">
      <c r="B460" s="188"/>
      <c r="C460" s="188"/>
      <c r="D460" s="188"/>
      <c r="G460" s="175">
        <f>+G458+G443</f>
        <v>251114392.53999999</v>
      </c>
      <c r="H460" s="175">
        <f t="shared" ref="H460:I460" si="0">+H458+H443</f>
        <v>0</v>
      </c>
      <c r="I460" s="175">
        <f t="shared" si="0"/>
        <v>260337144.86000001</v>
      </c>
      <c r="K460" s="12">
        <f>+K459-K447</f>
        <v>13346510.120000005</v>
      </c>
    </row>
    <row r="461" spans="1:11" ht="22.15" customHeight="1" x14ac:dyDescent="0.35">
      <c r="B461" s="188"/>
      <c r="C461" s="188"/>
      <c r="D461" s="188"/>
      <c r="F461" s="248"/>
    </row>
    <row r="462" spans="1:11" ht="22.15" customHeight="1" x14ac:dyDescent="0.35">
      <c r="B462" s="188"/>
      <c r="C462" s="188"/>
      <c r="D462" s="188"/>
      <c r="F462" s="248"/>
    </row>
    <row r="463" spans="1:11" ht="22.15" customHeight="1" x14ac:dyDescent="0.35">
      <c r="A463" s="182"/>
      <c r="B463" s="182"/>
      <c r="C463" s="182"/>
      <c r="D463" s="182"/>
      <c r="E463" s="182"/>
    </row>
    <row r="464" spans="1:11" ht="22.15" customHeight="1" x14ac:dyDescent="0.35">
      <c r="A464" s="249" t="s">
        <v>170</v>
      </c>
      <c r="B464" s="182"/>
      <c r="C464" s="182"/>
      <c r="D464" s="182"/>
      <c r="E464" s="182"/>
    </row>
    <row r="465" spans="1:11" ht="22.15" customHeight="1" x14ac:dyDescent="0.35">
      <c r="A465" s="182"/>
      <c r="B465" s="182"/>
      <c r="C465" s="182"/>
      <c r="D465" s="182"/>
      <c r="E465" s="182"/>
    </row>
    <row r="466" spans="1:11" ht="22.15" customHeight="1" x14ac:dyDescent="0.35">
      <c r="A466" s="182"/>
      <c r="B466" s="182"/>
      <c r="C466" s="182"/>
      <c r="D466" s="182"/>
      <c r="E466" s="182"/>
    </row>
    <row r="467" spans="1:11" ht="22.15" customHeight="1" x14ac:dyDescent="0.35">
      <c r="A467" s="182" t="s">
        <v>312</v>
      </c>
      <c r="B467" s="182"/>
      <c r="C467" s="182"/>
      <c r="D467" s="182"/>
      <c r="E467" s="182"/>
      <c r="K467" s="13"/>
    </row>
    <row r="468" spans="1:11" ht="22.15" customHeight="1" x14ac:dyDescent="0.35">
      <c r="A468" s="182"/>
      <c r="B468" s="182"/>
      <c r="C468" s="182"/>
      <c r="D468" s="182"/>
      <c r="E468" s="182"/>
      <c r="K468" s="13"/>
    </row>
    <row r="469" spans="1:11" ht="22.15" customHeight="1" x14ac:dyDescent="0.35">
      <c r="A469" s="174" t="s">
        <v>461</v>
      </c>
      <c r="K469" s="13"/>
    </row>
    <row r="470" spans="1:11" ht="22.15" customHeight="1" x14ac:dyDescent="0.35">
      <c r="A470" s="174" t="s">
        <v>152</v>
      </c>
      <c r="K470" s="13"/>
    </row>
    <row r="471" spans="1:11" ht="22.15" customHeight="1" x14ac:dyDescent="0.35">
      <c r="K471" s="13"/>
    </row>
    <row r="472" spans="1:11" ht="22.15" customHeight="1" x14ac:dyDescent="0.35">
      <c r="A472" s="265" t="s">
        <v>4</v>
      </c>
      <c r="B472" s="266"/>
      <c r="C472" s="266"/>
      <c r="D472" s="266"/>
      <c r="E472" s="266"/>
      <c r="F472" s="267"/>
      <c r="G472" s="250">
        <v>2025</v>
      </c>
      <c r="H472" s="204"/>
      <c r="I472" s="250">
        <v>2024</v>
      </c>
      <c r="K472" s="13"/>
    </row>
    <row r="473" spans="1:11" ht="22.15" customHeight="1" x14ac:dyDescent="0.35">
      <c r="A473" s="251" t="s">
        <v>64</v>
      </c>
      <c r="B473" s="252"/>
      <c r="C473" s="252"/>
      <c r="D473" s="252"/>
      <c r="F473" s="253"/>
      <c r="G473" s="198">
        <v>87708386.819999993</v>
      </c>
      <c r="H473" s="205"/>
      <c r="I473" s="198">
        <v>85822726.709999993</v>
      </c>
      <c r="K473" s="13"/>
    </row>
    <row r="474" spans="1:11" ht="22.15" customHeight="1" x14ac:dyDescent="0.35">
      <c r="A474" s="231" t="s">
        <v>379</v>
      </c>
      <c r="B474" s="232"/>
      <c r="C474" s="232"/>
      <c r="D474" s="232"/>
      <c r="E474" s="232"/>
      <c r="F474" s="242"/>
      <c r="G474" s="198">
        <v>6878052.46</v>
      </c>
      <c r="H474" s="205"/>
      <c r="I474" s="198">
        <v>6507952.7800000003</v>
      </c>
      <c r="K474" s="13"/>
    </row>
    <row r="475" spans="1:11" ht="22.15" customHeight="1" x14ac:dyDescent="0.35">
      <c r="A475" s="231" t="s">
        <v>380</v>
      </c>
      <c r="B475" s="232"/>
      <c r="C475" s="232"/>
      <c r="D475" s="232"/>
      <c r="E475" s="232"/>
      <c r="F475" s="242"/>
      <c r="G475" s="198">
        <v>7011715.7599999998</v>
      </c>
      <c r="H475" s="205"/>
      <c r="I475" s="198">
        <v>6671696.7699999996</v>
      </c>
      <c r="K475" s="13"/>
    </row>
    <row r="476" spans="1:11" ht="22.15" customHeight="1" x14ac:dyDescent="0.35">
      <c r="A476" s="231" t="s">
        <v>381</v>
      </c>
      <c r="B476" s="232"/>
      <c r="C476" s="232"/>
      <c r="D476" s="232"/>
      <c r="E476" s="232"/>
      <c r="F476" s="242"/>
      <c r="G476" s="198">
        <v>896859.47</v>
      </c>
      <c r="H476" s="205"/>
      <c r="I476" s="198">
        <v>834573.35</v>
      </c>
      <c r="K476" s="13"/>
    </row>
    <row r="477" spans="1:11" ht="22.15" customHeight="1" x14ac:dyDescent="0.35">
      <c r="A477" s="194" t="s">
        <v>65</v>
      </c>
      <c r="B477" s="199"/>
      <c r="C477" s="199"/>
      <c r="D477" s="199"/>
      <c r="E477" s="199"/>
      <c r="F477" s="200"/>
      <c r="G477" s="198">
        <v>11004048.77</v>
      </c>
      <c r="H477" s="205"/>
      <c r="I477" s="198">
        <v>8077000</v>
      </c>
      <c r="K477" s="13"/>
    </row>
    <row r="478" spans="1:11" ht="22.15" customHeight="1" x14ac:dyDescent="0.35">
      <c r="A478" s="231" t="s">
        <v>66</v>
      </c>
      <c r="B478" s="232"/>
      <c r="C478" s="232"/>
      <c r="D478" s="232"/>
      <c r="E478" s="232"/>
      <c r="F478" s="242"/>
      <c r="G478" s="198">
        <v>5651861.54</v>
      </c>
      <c r="H478" s="205"/>
      <c r="I478" s="198">
        <v>5223665.9400000004</v>
      </c>
      <c r="K478" s="13"/>
    </row>
    <row r="479" spans="1:11" ht="22.15" customHeight="1" x14ac:dyDescent="0.35">
      <c r="A479" s="194" t="s">
        <v>67</v>
      </c>
      <c r="B479" s="199"/>
      <c r="C479" s="199"/>
      <c r="D479" s="199"/>
      <c r="E479" s="199"/>
      <c r="F479" s="200"/>
      <c r="G479" s="198">
        <v>1274536.92</v>
      </c>
      <c r="H479" s="205"/>
      <c r="I479" s="198">
        <v>1020473.29</v>
      </c>
      <c r="K479" s="13"/>
    </row>
    <row r="480" spans="1:11" ht="22.15" customHeight="1" x14ac:dyDescent="0.35">
      <c r="A480" s="231" t="s">
        <v>68</v>
      </c>
      <c r="B480" s="232"/>
      <c r="C480" s="232"/>
      <c r="D480" s="232"/>
      <c r="E480" s="232"/>
      <c r="F480" s="242"/>
      <c r="G480" s="198">
        <v>5760000</v>
      </c>
      <c r="H480" s="205"/>
      <c r="I480" s="198">
        <v>6160000</v>
      </c>
      <c r="K480" s="13"/>
    </row>
    <row r="481" spans="1:11" ht="22.15" customHeight="1" x14ac:dyDescent="0.35">
      <c r="A481" s="231" t="s">
        <v>69</v>
      </c>
      <c r="B481" s="232"/>
      <c r="C481" s="232"/>
      <c r="D481" s="232"/>
      <c r="E481" s="232"/>
      <c r="F481" s="242"/>
      <c r="G481" s="198">
        <v>2636680</v>
      </c>
      <c r="H481" s="205"/>
      <c r="I481" s="198">
        <v>2291640</v>
      </c>
      <c r="K481" s="13"/>
    </row>
    <row r="482" spans="1:11" ht="22.15" hidden="1" customHeight="1" x14ac:dyDescent="0.35">
      <c r="A482" s="231" t="s">
        <v>262</v>
      </c>
      <c r="B482" s="232"/>
      <c r="C482" s="232"/>
      <c r="D482" s="232"/>
      <c r="E482" s="232"/>
      <c r="F482" s="242"/>
      <c r="G482" s="198"/>
      <c r="H482" s="205"/>
      <c r="I482" s="198"/>
      <c r="K482" s="13"/>
    </row>
    <row r="483" spans="1:11" ht="22.15" customHeight="1" x14ac:dyDescent="0.35">
      <c r="A483" s="194" t="s">
        <v>70</v>
      </c>
      <c r="B483" s="199"/>
      <c r="C483" s="199"/>
      <c r="D483" s="199"/>
      <c r="E483" s="199"/>
      <c r="F483" s="200"/>
      <c r="G483" s="198">
        <v>427048.87</v>
      </c>
      <c r="H483" s="205"/>
      <c r="I483" s="198">
        <v>347460.6</v>
      </c>
      <c r="K483" s="13"/>
    </row>
    <row r="484" spans="1:11" ht="22.15" customHeight="1" x14ac:dyDescent="0.35">
      <c r="A484" s="231" t="s">
        <v>71</v>
      </c>
      <c r="B484" s="232"/>
      <c r="C484" s="232"/>
      <c r="D484" s="232"/>
      <c r="E484" s="232"/>
      <c r="F484" s="242"/>
      <c r="G484" s="198">
        <v>8436471.4800000004</v>
      </c>
      <c r="H484" s="205"/>
      <c r="I484" s="198">
        <v>8013304.79</v>
      </c>
      <c r="K484" s="13"/>
    </row>
    <row r="485" spans="1:11" ht="22.15" customHeight="1" x14ac:dyDescent="0.35">
      <c r="A485" s="194" t="s">
        <v>72</v>
      </c>
      <c r="B485" s="199"/>
      <c r="C485" s="199"/>
      <c r="D485" s="199"/>
      <c r="E485" s="199"/>
      <c r="F485" s="200"/>
      <c r="G485" s="198">
        <v>8442304.8200000003</v>
      </c>
      <c r="H485" s="205"/>
      <c r="I485" s="198">
        <v>8013304.6699999999</v>
      </c>
      <c r="K485" s="13"/>
    </row>
    <row r="486" spans="1:11" ht="22.15" customHeight="1" x14ac:dyDescent="0.35">
      <c r="A486" s="194" t="s">
        <v>179</v>
      </c>
      <c r="B486" s="199"/>
      <c r="C486" s="199"/>
      <c r="D486" s="199"/>
      <c r="E486" s="199"/>
      <c r="F486" s="200"/>
      <c r="G486" s="198">
        <v>210000</v>
      </c>
      <c r="H486" s="205"/>
      <c r="I486" s="198">
        <v>230000</v>
      </c>
    </row>
    <row r="487" spans="1:11" ht="22.15" customHeight="1" x14ac:dyDescent="0.35">
      <c r="A487" s="231" t="s">
        <v>73</v>
      </c>
      <c r="B487" s="232"/>
      <c r="C487" s="232"/>
      <c r="D487" s="232"/>
      <c r="E487" s="232"/>
      <c r="F487" s="242"/>
      <c r="G487" s="198">
        <v>8447353.3200000003</v>
      </c>
      <c r="H487" s="205"/>
      <c r="I487" s="198">
        <v>8736837.2300000004</v>
      </c>
    </row>
    <row r="488" spans="1:11" ht="22.15" customHeight="1" x14ac:dyDescent="0.35">
      <c r="A488" s="194" t="s">
        <v>149</v>
      </c>
      <c r="B488" s="199"/>
      <c r="C488" s="199"/>
      <c r="D488" s="199"/>
      <c r="E488" s="199"/>
      <c r="F488" s="200"/>
      <c r="G488" s="198">
        <v>512644.22</v>
      </c>
      <c r="H488" s="205"/>
      <c r="I488" s="198">
        <v>288647.90000000002</v>
      </c>
      <c r="K488" s="13"/>
    </row>
    <row r="489" spans="1:11" ht="22.15" customHeight="1" x14ac:dyDescent="0.35">
      <c r="A489" s="194" t="s">
        <v>74</v>
      </c>
      <c r="B489" s="199"/>
      <c r="C489" s="199"/>
      <c r="D489" s="199"/>
      <c r="E489" s="199"/>
      <c r="F489" s="200"/>
      <c r="G489" s="198">
        <v>5665735.2000000002</v>
      </c>
      <c r="H489" s="205"/>
      <c r="I489" s="198">
        <v>2128771.2000000002</v>
      </c>
      <c r="K489" s="13"/>
    </row>
    <row r="490" spans="1:11" ht="22.15" customHeight="1" x14ac:dyDescent="0.35">
      <c r="A490" s="231" t="s">
        <v>202</v>
      </c>
      <c r="B490" s="232"/>
      <c r="C490" s="232"/>
      <c r="D490" s="232"/>
      <c r="E490" s="232"/>
      <c r="F490" s="242"/>
      <c r="G490" s="198">
        <v>8951748.5800000001</v>
      </c>
      <c r="H490" s="205"/>
      <c r="I490" s="198">
        <v>7201817.1200000001</v>
      </c>
    </row>
    <row r="491" spans="1:11" ht="22.15" customHeight="1" x14ac:dyDescent="0.35">
      <c r="A491" s="231" t="s">
        <v>333</v>
      </c>
      <c r="B491" s="232"/>
      <c r="C491" s="232"/>
      <c r="D491" s="232"/>
      <c r="E491" s="232"/>
      <c r="F491" s="242"/>
      <c r="G491" s="198">
        <v>8579107.1199999992</v>
      </c>
      <c r="H491" s="205"/>
      <c r="I491" s="198">
        <v>6887586.21</v>
      </c>
    </row>
    <row r="492" spans="1:11" ht="22.15" customHeight="1" x14ac:dyDescent="0.35">
      <c r="A492" s="231" t="s">
        <v>262</v>
      </c>
      <c r="B492" s="232"/>
      <c r="C492" s="232"/>
      <c r="D492" s="232"/>
      <c r="E492" s="232"/>
      <c r="F492" s="242"/>
      <c r="G492" s="198">
        <v>893521.58</v>
      </c>
      <c r="H492" s="205"/>
      <c r="I492" s="198">
        <v>0</v>
      </c>
    </row>
    <row r="493" spans="1:11" ht="22.15" customHeight="1" x14ac:dyDescent="0.35">
      <c r="A493" s="231" t="s">
        <v>360</v>
      </c>
      <c r="B493" s="232"/>
      <c r="C493" s="232"/>
      <c r="D493" s="232"/>
      <c r="E493" s="232"/>
      <c r="F493" s="242"/>
      <c r="G493" s="198">
        <v>477309.47</v>
      </c>
      <c r="H493" s="205"/>
      <c r="I493" s="198">
        <f>100000+1630380</f>
        <v>1730380</v>
      </c>
    </row>
    <row r="494" spans="1:11" ht="22.15" customHeight="1" x14ac:dyDescent="0.35">
      <c r="A494" s="231" t="s">
        <v>482</v>
      </c>
      <c r="B494" s="232"/>
      <c r="C494" s="232"/>
      <c r="D494" s="232"/>
      <c r="E494" s="232"/>
      <c r="F494" s="242"/>
      <c r="G494" s="198">
        <v>465250</v>
      </c>
      <c r="H494" s="205"/>
      <c r="I494" s="198">
        <v>0</v>
      </c>
    </row>
    <row r="495" spans="1:11" ht="22.15" customHeight="1" x14ac:dyDescent="0.35">
      <c r="A495" s="189" t="s">
        <v>75</v>
      </c>
      <c r="B495" s="199"/>
      <c r="C495" s="199"/>
      <c r="D495" s="199"/>
      <c r="E495" s="199"/>
      <c r="F495" s="200"/>
      <c r="G495" s="193">
        <f>SUM(G473:G494)</f>
        <v>180330636.40000001</v>
      </c>
      <c r="H495" s="205"/>
      <c r="I495" s="193">
        <f>SUM(I473:I494)</f>
        <v>166187838.55999997</v>
      </c>
    </row>
    <row r="496" spans="1:11" ht="22.15" customHeight="1" x14ac:dyDescent="0.35"/>
    <row r="497" spans="1:11" ht="22.15" customHeight="1" x14ac:dyDescent="0.35"/>
    <row r="498" spans="1:11" ht="22.15" customHeight="1" x14ac:dyDescent="0.35">
      <c r="A498" s="174" t="s">
        <v>76</v>
      </c>
    </row>
    <row r="499" spans="1:11" ht="22.15" customHeight="1" x14ac:dyDescent="0.35">
      <c r="A499" s="174" t="s">
        <v>462</v>
      </c>
    </row>
    <row r="500" spans="1:11" ht="22.15" customHeight="1" x14ac:dyDescent="0.35"/>
    <row r="501" spans="1:11" ht="22.15" customHeight="1" x14ac:dyDescent="0.35">
      <c r="A501" s="174" t="s">
        <v>463</v>
      </c>
    </row>
    <row r="502" spans="1:11" ht="22.15" customHeight="1" x14ac:dyDescent="0.35">
      <c r="A502" s="174" t="s">
        <v>464</v>
      </c>
      <c r="B502" s="228"/>
      <c r="C502" s="228"/>
      <c r="D502" s="228"/>
    </row>
    <row r="503" spans="1:11" ht="22.15" customHeight="1" x14ac:dyDescent="0.35">
      <c r="B503" s="228"/>
      <c r="C503" s="228"/>
      <c r="D503" s="228"/>
    </row>
    <row r="504" spans="1:11" ht="22.15" customHeight="1" x14ac:dyDescent="0.35"/>
    <row r="505" spans="1:11" ht="22.15" customHeight="1" x14ac:dyDescent="0.35">
      <c r="A505" s="182" t="s">
        <v>311</v>
      </c>
      <c r="B505" s="182" t="s">
        <v>171</v>
      </c>
      <c r="C505" s="182"/>
      <c r="D505" s="182"/>
      <c r="K505" s="13"/>
    </row>
    <row r="506" spans="1:11" ht="22.15" customHeight="1" x14ac:dyDescent="0.35">
      <c r="A506" s="182"/>
      <c r="B506" s="182"/>
      <c r="C506" s="182"/>
      <c r="D506" s="182"/>
      <c r="K506" s="13"/>
    </row>
    <row r="507" spans="1:11" ht="22.15" customHeight="1" x14ac:dyDescent="0.35">
      <c r="A507" s="182"/>
      <c r="B507" s="182"/>
      <c r="C507" s="182"/>
      <c r="D507" s="182"/>
      <c r="K507" s="13"/>
    </row>
    <row r="508" spans="1:11" ht="22.15" customHeight="1" x14ac:dyDescent="0.35">
      <c r="A508" s="174" t="s">
        <v>465</v>
      </c>
      <c r="K508" s="13"/>
    </row>
    <row r="509" spans="1:11" ht="22.15" customHeight="1" x14ac:dyDescent="0.35">
      <c r="A509" s="182" t="s">
        <v>152</v>
      </c>
      <c r="K509" s="13"/>
    </row>
    <row r="510" spans="1:11" ht="22.15" customHeight="1" x14ac:dyDescent="0.35">
      <c r="A510" s="182"/>
      <c r="K510" s="13"/>
    </row>
    <row r="511" spans="1:11" ht="22.15" customHeight="1" x14ac:dyDescent="0.35">
      <c r="A511" s="265" t="s">
        <v>4</v>
      </c>
      <c r="B511" s="266"/>
      <c r="C511" s="266"/>
      <c r="D511" s="266"/>
      <c r="E511" s="266"/>
      <c r="F511" s="267"/>
      <c r="G511" s="209">
        <v>2025</v>
      </c>
      <c r="H511" s="204"/>
      <c r="I511" s="209">
        <v>2024</v>
      </c>
      <c r="K511" s="13"/>
    </row>
    <row r="512" spans="1:11" ht="22.15" customHeight="1" x14ac:dyDescent="0.35">
      <c r="A512" s="194" t="s">
        <v>166</v>
      </c>
      <c r="B512" s="199"/>
      <c r="C512" s="199"/>
      <c r="D512" s="199"/>
      <c r="E512" s="199"/>
      <c r="F512" s="200"/>
      <c r="G512" s="198">
        <v>160386.07</v>
      </c>
      <c r="H512" s="205"/>
      <c r="I512" s="198">
        <v>369067.02</v>
      </c>
    </row>
    <row r="513" spans="1:11" ht="22.15" customHeight="1" x14ac:dyDescent="0.35">
      <c r="A513" s="194" t="s">
        <v>77</v>
      </c>
      <c r="B513" s="199"/>
      <c r="C513" s="199"/>
      <c r="D513" s="199"/>
      <c r="E513" s="199"/>
      <c r="F513" s="200"/>
      <c r="G513" s="198">
        <v>15583558.300000001</v>
      </c>
      <c r="H513" s="205"/>
      <c r="I513" s="198">
        <v>10765858.34</v>
      </c>
    </row>
    <row r="514" spans="1:11" ht="22.15" customHeight="1" x14ac:dyDescent="0.35">
      <c r="A514" s="194" t="s">
        <v>264</v>
      </c>
      <c r="B514" s="199"/>
      <c r="C514" s="199"/>
      <c r="D514" s="199"/>
      <c r="E514" s="199"/>
      <c r="F514" s="200"/>
      <c r="G514" s="198">
        <v>6523930.3600000003</v>
      </c>
      <c r="H514" s="205"/>
      <c r="I514" s="198">
        <v>3476039.19</v>
      </c>
    </row>
    <row r="515" spans="1:11" ht="22.15" customHeight="1" x14ac:dyDescent="0.35">
      <c r="A515" s="194" t="s">
        <v>263</v>
      </c>
      <c r="B515" s="199"/>
      <c r="C515" s="199"/>
      <c r="D515" s="199"/>
      <c r="E515" s="199"/>
      <c r="F515" s="200"/>
      <c r="G515" s="198">
        <v>285327.19</v>
      </c>
      <c r="H515" s="205"/>
      <c r="I515" s="198">
        <v>319526.90000000002</v>
      </c>
    </row>
    <row r="516" spans="1:11" ht="22.15" customHeight="1" x14ac:dyDescent="0.35">
      <c r="A516" s="189" t="s">
        <v>63</v>
      </c>
      <c r="B516" s="190"/>
      <c r="C516" s="190"/>
      <c r="D516" s="190"/>
      <c r="E516" s="190"/>
      <c r="F516" s="191"/>
      <c r="G516" s="193">
        <f>SUM(G512:G515)</f>
        <v>22553201.920000002</v>
      </c>
      <c r="H516" s="204"/>
      <c r="I516" s="193">
        <f>SUM(I512:I515)</f>
        <v>14930491.449999999</v>
      </c>
      <c r="K516" s="12">
        <f>+G516+G534+G582</f>
        <v>113131287.41000001</v>
      </c>
    </row>
    <row r="517" spans="1:11" ht="22.15" customHeight="1" x14ac:dyDescent="0.35"/>
    <row r="518" spans="1:11" ht="22.15" customHeight="1" x14ac:dyDescent="0.35"/>
    <row r="519" spans="1:11" ht="22.15" customHeight="1" x14ac:dyDescent="0.35"/>
    <row r="520" spans="1:11" ht="22.15" customHeight="1" x14ac:dyDescent="0.35">
      <c r="A520" s="182" t="s">
        <v>78</v>
      </c>
      <c r="B520" s="182" t="s">
        <v>86</v>
      </c>
      <c r="C520" s="182"/>
      <c r="D520" s="182"/>
      <c r="E520" s="182"/>
    </row>
    <row r="521" spans="1:11" ht="22.15" customHeight="1" x14ac:dyDescent="0.35">
      <c r="A521" s="182"/>
      <c r="B521" s="182"/>
      <c r="C521" s="182"/>
      <c r="D521" s="182"/>
      <c r="E521" s="182"/>
    </row>
    <row r="522" spans="1:11" ht="22.15" customHeight="1" x14ac:dyDescent="0.35">
      <c r="A522" s="174" t="s">
        <v>466</v>
      </c>
    </row>
    <row r="523" spans="1:11" ht="22.15" customHeight="1" x14ac:dyDescent="0.35"/>
    <row r="524" spans="1:11" ht="22.15" customHeight="1" x14ac:dyDescent="0.35">
      <c r="A524" s="265" t="s">
        <v>4</v>
      </c>
      <c r="B524" s="266"/>
      <c r="C524" s="266"/>
      <c r="D524" s="266"/>
      <c r="E524" s="266"/>
      <c r="F524" s="267"/>
      <c r="G524" s="209">
        <v>2025</v>
      </c>
      <c r="H524" s="204"/>
      <c r="I524" s="209">
        <v>2024</v>
      </c>
    </row>
    <row r="525" spans="1:11" ht="22.15" customHeight="1" x14ac:dyDescent="0.35">
      <c r="A525" s="194" t="s">
        <v>174</v>
      </c>
      <c r="B525" s="199"/>
      <c r="C525" s="199"/>
      <c r="D525" s="199"/>
      <c r="E525" s="199"/>
      <c r="F525" s="200"/>
      <c r="G525" s="198">
        <v>1958806.25</v>
      </c>
      <c r="H525" s="205"/>
      <c r="I525" s="198">
        <v>1284392.1100000001</v>
      </c>
    </row>
    <row r="526" spans="1:11" ht="22.15" customHeight="1" x14ac:dyDescent="0.35">
      <c r="A526" s="194" t="s">
        <v>175</v>
      </c>
      <c r="B526" s="199"/>
      <c r="C526" s="199"/>
      <c r="D526" s="199"/>
      <c r="E526" s="199"/>
      <c r="F526" s="200"/>
      <c r="G526" s="198">
        <v>268872.24</v>
      </c>
      <c r="H526" s="205"/>
      <c r="I526" s="198">
        <v>262937.64</v>
      </c>
    </row>
    <row r="527" spans="1:11" ht="22.15" customHeight="1" x14ac:dyDescent="0.35">
      <c r="A527" s="194" t="s">
        <v>201</v>
      </c>
      <c r="B527" s="199"/>
      <c r="C527" s="199"/>
      <c r="D527" s="199"/>
      <c r="E527" s="199"/>
      <c r="F527" s="200"/>
      <c r="G527" s="198">
        <v>251915.48</v>
      </c>
      <c r="H527" s="205"/>
      <c r="I527" s="198">
        <v>759040.3</v>
      </c>
    </row>
    <row r="528" spans="1:11" ht="22.15" customHeight="1" x14ac:dyDescent="0.35">
      <c r="A528" s="194" t="s">
        <v>87</v>
      </c>
      <c r="B528" s="199"/>
      <c r="C528" s="199"/>
      <c r="D528" s="199"/>
      <c r="E528" s="199"/>
      <c r="F528" s="200"/>
      <c r="G528" s="198">
        <v>2541845.7200000002</v>
      </c>
      <c r="H528" s="205"/>
      <c r="I528" s="198">
        <v>2504729.0299999998</v>
      </c>
    </row>
    <row r="529" spans="1:11" ht="22.15" customHeight="1" x14ac:dyDescent="0.35">
      <c r="A529" s="194" t="s">
        <v>88</v>
      </c>
      <c r="B529" s="199"/>
      <c r="C529" s="199"/>
      <c r="D529" s="199"/>
      <c r="E529" s="199"/>
      <c r="F529" s="200"/>
      <c r="G529" s="198">
        <f>12032795.35+140808.4+499500</f>
        <v>12673103.75</v>
      </c>
      <c r="H529" s="205"/>
      <c r="I529" s="198">
        <f>10753184.3-57123.69</f>
        <v>10696060.610000001</v>
      </c>
    </row>
    <row r="530" spans="1:11" ht="22.15" customHeight="1" x14ac:dyDescent="0.35">
      <c r="A530" s="194" t="s">
        <v>169</v>
      </c>
      <c r="B530" s="199"/>
      <c r="C530" s="199"/>
      <c r="D530" s="199"/>
      <c r="E530" s="199"/>
      <c r="F530" s="200"/>
      <c r="G530" s="198">
        <v>62264.31</v>
      </c>
      <c r="H530" s="205"/>
      <c r="I530" s="198">
        <v>57123.69</v>
      </c>
    </row>
    <row r="531" spans="1:11" ht="22.15" customHeight="1" x14ac:dyDescent="0.35">
      <c r="A531" s="254" t="s">
        <v>362</v>
      </c>
      <c r="B531" s="201"/>
      <c r="C531" s="201"/>
      <c r="D531" s="201"/>
      <c r="E531" s="201"/>
      <c r="F531" s="255"/>
      <c r="G531" s="198">
        <v>42048.67</v>
      </c>
      <c r="H531" s="205"/>
      <c r="I531" s="198">
        <v>92459.06</v>
      </c>
      <c r="K531" s="13"/>
    </row>
    <row r="532" spans="1:11" ht="22.15" customHeight="1" x14ac:dyDescent="0.35">
      <c r="A532" s="194" t="s">
        <v>364</v>
      </c>
      <c r="B532" s="199"/>
      <c r="C532" s="199"/>
      <c r="D532" s="199"/>
      <c r="E532" s="199"/>
      <c r="F532" s="200"/>
      <c r="G532" s="198">
        <v>55535.97</v>
      </c>
      <c r="H532" s="204"/>
      <c r="I532" s="198">
        <v>83347.42</v>
      </c>
      <c r="K532" s="13"/>
    </row>
    <row r="533" spans="1:11" ht="22.15" customHeight="1" x14ac:dyDescent="0.35">
      <c r="A533" s="194" t="s">
        <v>363</v>
      </c>
      <c r="B533" s="199"/>
      <c r="C533" s="199"/>
      <c r="D533" s="199"/>
      <c r="E533" s="199"/>
      <c r="F533" s="200"/>
      <c r="G533" s="198">
        <v>2002730.09</v>
      </c>
      <c r="H533" s="204"/>
      <c r="I533" s="198">
        <v>2278383.2799999998</v>
      </c>
      <c r="K533" s="13"/>
    </row>
    <row r="534" spans="1:11" ht="22.15" customHeight="1" x14ac:dyDescent="0.35">
      <c r="A534" s="189" t="s">
        <v>150</v>
      </c>
      <c r="B534" s="190"/>
      <c r="C534" s="190"/>
      <c r="D534" s="190"/>
      <c r="E534" s="190"/>
      <c r="F534" s="191"/>
      <c r="G534" s="193">
        <f>SUM(G525:G533)</f>
        <v>19857122.48</v>
      </c>
      <c r="I534" s="193">
        <f>SUM(I525:I533)</f>
        <v>18018473.140000001</v>
      </c>
      <c r="K534" s="13"/>
    </row>
    <row r="535" spans="1:11" ht="22.15" customHeight="1" x14ac:dyDescent="0.35">
      <c r="A535" s="196"/>
      <c r="B535" s="196"/>
      <c r="C535" s="196"/>
      <c r="D535" s="196"/>
      <c r="E535" s="196"/>
      <c r="F535" s="196"/>
      <c r="G535" s="230"/>
      <c r="I535" s="230"/>
      <c r="K535" s="13"/>
    </row>
    <row r="536" spans="1:11" ht="22.15" customHeight="1" x14ac:dyDescent="0.35">
      <c r="A536" s="196"/>
      <c r="B536" s="196"/>
      <c r="C536" s="196"/>
      <c r="D536" s="196"/>
      <c r="E536" s="196"/>
      <c r="F536" s="196"/>
      <c r="G536" s="230"/>
      <c r="I536" s="230"/>
      <c r="K536" s="13"/>
    </row>
    <row r="537" spans="1:11" ht="22.15" customHeight="1" x14ac:dyDescent="0.35">
      <c r="K537" s="13"/>
    </row>
    <row r="538" spans="1:11" ht="22.15" customHeight="1" x14ac:dyDescent="0.35">
      <c r="A538" s="182" t="s">
        <v>79</v>
      </c>
      <c r="B538" s="196" t="s">
        <v>90</v>
      </c>
      <c r="C538" s="196"/>
      <c r="D538" s="196"/>
      <c r="E538" s="196"/>
      <c r="F538" s="196"/>
      <c r="G538" s="230"/>
      <c r="H538" s="204"/>
      <c r="I538" s="230"/>
      <c r="K538" s="13"/>
    </row>
    <row r="539" spans="1:11" ht="22.15" customHeight="1" x14ac:dyDescent="0.35">
      <c r="A539" s="182"/>
      <c r="B539" s="196"/>
      <c r="C539" s="196"/>
      <c r="D539" s="196"/>
      <c r="E539" s="196"/>
      <c r="F539" s="196"/>
      <c r="G539" s="230"/>
      <c r="H539" s="204"/>
      <c r="I539" s="230"/>
      <c r="K539" s="13"/>
    </row>
    <row r="540" spans="1:11" ht="22.15" customHeight="1" x14ac:dyDescent="0.35">
      <c r="A540" s="201" t="s">
        <v>467</v>
      </c>
      <c r="B540" s="196"/>
      <c r="C540" s="196"/>
      <c r="D540" s="196"/>
      <c r="E540" s="196"/>
      <c r="F540" s="196"/>
      <c r="G540" s="230"/>
      <c r="H540" s="204"/>
      <c r="I540" s="230"/>
      <c r="K540" s="13"/>
    </row>
    <row r="541" spans="1:11" ht="22.15" customHeight="1" x14ac:dyDescent="0.35">
      <c r="A541" s="201"/>
      <c r="B541" s="196"/>
      <c r="C541" s="196"/>
      <c r="D541" s="196"/>
      <c r="E541" s="196"/>
      <c r="F541" s="196"/>
      <c r="G541" s="230"/>
      <c r="H541" s="204"/>
      <c r="I541" s="230"/>
      <c r="K541" s="13"/>
    </row>
    <row r="542" spans="1:11" ht="22.15" customHeight="1" x14ac:dyDescent="0.35">
      <c r="A542" s="265" t="s">
        <v>4</v>
      </c>
      <c r="B542" s="266"/>
      <c r="C542" s="266"/>
      <c r="D542" s="266"/>
      <c r="E542" s="266"/>
      <c r="F542" s="267"/>
      <c r="G542" s="209">
        <v>2025</v>
      </c>
      <c r="H542" s="204"/>
      <c r="I542" s="209">
        <v>2024</v>
      </c>
    </row>
    <row r="543" spans="1:11" ht="22.15" customHeight="1" x14ac:dyDescent="0.35">
      <c r="A543" s="194" t="s">
        <v>266</v>
      </c>
      <c r="B543" s="199"/>
      <c r="C543" s="199"/>
      <c r="D543" s="199"/>
      <c r="E543" s="199"/>
      <c r="F543" s="200"/>
      <c r="G543" s="198">
        <v>6263166.4299999997</v>
      </c>
      <c r="H543" s="205"/>
      <c r="I543" s="198">
        <v>5875950.1200000001</v>
      </c>
    </row>
    <row r="544" spans="1:11" ht="22.15" hidden="1" customHeight="1" x14ac:dyDescent="0.35">
      <c r="A544" s="194" t="s">
        <v>267</v>
      </c>
      <c r="B544" s="199"/>
      <c r="C544" s="199"/>
      <c r="D544" s="199"/>
      <c r="E544" s="199"/>
      <c r="F544" s="200"/>
      <c r="G544" s="198">
        <v>0</v>
      </c>
      <c r="H544" s="205"/>
      <c r="I544" s="198">
        <v>0</v>
      </c>
    </row>
    <row r="545" spans="1:11" ht="22.15" customHeight="1" x14ac:dyDescent="0.35">
      <c r="A545" s="189" t="s">
        <v>91</v>
      </c>
      <c r="B545" s="190"/>
      <c r="C545" s="190"/>
      <c r="D545" s="190"/>
      <c r="E545" s="190"/>
      <c r="F545" s="191"/>
      <c r="G545" s="241">
        <f>SUM(G543:G544)</f>
        <v>6263166.4299999997</v>
      </c>
      <c r="H545" s="205"/>
      <c r="I545" s="241">
        <f>SUM(I543:I544)</f>
        <v>5875950.1200000001</v>
      </c>
    </row>
    <row r="546" spans="1:11" ht="22.15" customHeight="1" x14ac:dyDescent="0.35">
      <c r="A546" s="196"/>
      <c r="B546" s="196"/>
      <c r="C546" s="196"/>
      <c r="D546" s="196"/>
      <c r="E546" s="196"/>
      <c r="F546" s="196"/>
      <c r="G546" s="230"/>
      <c r="H546" s="204"/>
      <c r="I546" s="230"/>
    </row>
    <row r="547" spans="1:11" ht="22.15" customHeight="1" x14ac:dyDescent="0.35">
      <c r="A547" s="196"/>
      <c r="B547" s="196"/>
      <c r="C547" s="196"/>
      <c r="D547" s="196"/>
      <c r="E547" s="196"/>
      <c r="F547" s="196"/>
      <c r="G547" s="230"/>
      <c r="H547" s="204"/>
      <c r="I547" s="230"/>
    </row>
    <row r="548" spans="1:11" ht="22.15" customHeight="1" x14ac:dyDescent="0.35">
      <c r="A548" s="182" t="s">
        <v>383</v>
      </c>
      <c r="B548" s="196"/>
      <c r="C548" s="196"/>
      <c r="D548" s="196"/>
      <c r="E548" s="196"/>
      <c r="F548" s="196"/>
      <c r="G548" s="230"/>
      <c r="H548" s="204"/>
      <c r="I548" s="230"/>
    </row>
    <row r="549" spans="1:11" ht="22.15" customHeight="1" x14ac:dyDescent="0.35">
      <c r="A549" s="196"/>
      <c r="B549" s="196"/>
      <c r="C549" s="196"/>
      <c r="D549" s="196"/>
      <c r="E549" s="196"/>
      <c r="F549" s="196"/>
      <c r="G549" s="230"/>
      <c r="H549" s="204"/>
      <c r="I549" s="230"/>
    </row>
    <row r="550" spans="1:11" ht="22.15" customHeight="1" x14ac:dyDescent="0.35">
      <c r="A550" s="201" t="s">
        <v>468</v>
      </c>
      <c r="B550" s="196"/>
      <c r="C550" s="196"/>
      <c r="D550" s="196"/>
      <c r="E550" s="196"/>
      <c r="F550" s="196"/>
      <c r="G550" s="230"/>
      <c r="H550" s="204"/>
      <c r="I550" s="230"/>
      <c r="K550" s="13"/>
    </row>
    <row r="551" spans="1:11" ht="22.15" customHeight="1" x14ac:dyDescent="0.35">
      <c r="A551" s="201" t="s">
        <v>469</v>
      </c>
      <c r="B551" s="196"/>
      <c r="C551" s="196"/>
      <c r="D551" s="196"/>
      <c r="E551" s="196"/>
      <c r="F551" s="196"/>
      <c r="G551" s="230"/>
      <c r="H551" s="204"/>
      <c r="I551" s="230"/>
      <c r="K551" s="13"/>
    </row>
    <row r="552" spans="1:11" ht="22.15" customHeight="1" x14ac:dyDescent="0.35">
      <c r="A552" s="201"/>
      <c r="B552" s="196"/>
      <c r="C552" s="196"/>
      <c r="D552" s="196"/>
      <c r="E552" s="196"/>
      <c r="F552" s="196"/>
      <c r="G552" s="230"/>
      <c r="H552" s="204"/>
      <c r="I552" s="230"/>
      <c r="K552" s="13"/>
    </row>
    <row r="553" spans="1:11" ht="22.15" customHeight="1" x14ac:dyDescent="0.35">
      <c r="A553" s="265" t="s">
        <v>4</v>
      </c>
      <c r="B553" s="266"/>
      <c r="C553" s="266"/>
      <c r="D553" s="266"/>
      <c r="E553" s="266"/>
      <c r="F553" s="267"/>
      <c r="G553" s="209">
        <v>2025</v>
      </c>
      <c r="H553" s="204"/>
      <c r="I553" s="209">
        <v>2024</v>
      </c>
    </row>
    <row r="554" spans="1:11" ht="22.15" customHeight="1" x14ac:dyDescent="0.35">
      <c r="A554" s="194" t="s">
        <v>386</v>
      </c>
      <c r="B554" s="199"/>
      <c r="C554" s="199"/>
      <c r="D554" s="199"/>
      <c r="E554" s="199"/>
      <c r="F554" s="200"/>
      <c r="G554" s="198">
        <v>416.6</v>
      </c>
      <c r="H554" s="205"/>
      <c r="I554" s="198">
        <v>0</v>
      </c>
    </row>
    <row r="555" spans="1:11" ht="22.15" customHeight="1" x14ac:dyDescent="0.35">
      <c r="A555" s="189" t="s">
        <v>385</v>
      </c>
      <c r="B555" s="190"/>
      <c r="C555" s="190"/>
      <c r="D555" s="190"/>
      <c r="E555" s="190"/>
      <c r="F555" s="191"/>
      <c r="G555" s="241">
        <f>SUM(G554:G554)</f>
        <v>416.6</v>
      </c>
      <c r="H555" s="205"/>
      <c r="I555" s="241">
        <f>SUM(I554:I554)</f>
        <v>0</v>
      </c>
    </row>
    <row r="556" spans="1:11" ht="22.15" customHeight="1" x14ac:dyDescent="0.35">
      <c r="A556" s="196"/>
      <c r="B556" s="196"/>
      <c r="C556" s="196"/>
      <c r="D556" s="196"/>
      <c r="E556" s="196"/>
      <c r="F556" s="196"/>
      <c r="G556" s="230"/>
      <c r="H556" s="204"/>
      <c r="I556" s="230"/>
    </row>
    <row r="557" spans="1:11" ht="22.15" customHeight="1" x14ac:dyDescent="0.35"/>
    <row r="558" spans="1:11" ht="22.15" customHeight="1" x14ac:dyDescent="0.35">
      <c r="A558" s="182" t="s">
        <v>85</v>
      </c>
      <c r="B558" s="182" t="s">
        <v>172</v>
      </c>
      <c r="C558" s="182"/>
      <c r="D558" s="182"/>
      <c r="K558" s="13"/>
    </row>
    <row r="559" spans="1:11" ht="22.15" customHeight="1" x14ac:dyDescent="0.35">
      <c r="A559" s="182"/>
      <c r="B559" s="182"/>
      <c r="C559" s="182"/>
      <c r="D559" s="182"/>
      <c r="K559" s="13"/>
    </row>
    <row r="560" spans="1:11" ht="22.15" customHeight="1" x14ac:dyDescent="0.35">
      <c r="A560" s="174" t="s">
        <v>470</v>
      </c>
      <c r="K560" s="13"/>
    </row>
    <row r="561" spans="1:11" ht="22.15" customHeight="1" x14ac:dyDescent="0.35">
      <c r="K561" s="13"/>
    </row>
    <row r="562" spans="1:11" ht="22.15" customHeight="1" x14ac:dyDescent="0.35">
      <c r="A562" s="265" t="s">
        <v>4</v>
      </c>
      <c r="B562" s="266"/>
      <c r="C562" s="266"/>
      <c r="D562" s="266"/>
      <c r="E562" s="266"/>
      <c r="F562" s="267"/>
      <c r="G562" s="250">
        <v>2025</v>
      </c>
      <c r="H562" s="204"/>
      <c r="I562" s="250">
        <v>2024</v>
      </c>
      <c r="K562" s="13"/>
    </row>
    <row r="563" spans="1:11" ht="22.15" customHeight="1" x14ac:dyDescent="0.35">
      <c r="A563" s="194" t="s">
        <v>80</v>
      </c>
      <c r="B563" s="199"/>
      <c r="C563" s="199"/>
      <c r="D563" s="199"/>
      <c r="E563" s="199"/>
      <c r="F563" s="200"/>
      <c r="G563" s="198">
        <v>7760461.46</v>
      </c>
      <c r="H563" s="205"/>
      <c r="I563" s="198">
        <v>6497849.6799999997</v>
      </c>
      <c r="K563" s="13"/>
    </row>
    <row r="564" spans="1:11" ht="22.15" customHeight="1" x14ac:dyDescent="0.35">
      <c r="A564" s="194" t="s">
        <v>81</v>
      </c>
      <c r="B564" s="199"/>
      <c r="C564" s="199"/>
      <c r="D564" s="199"/>
      <c r="E564" s="199"/>
      <c r="F564" s="200"/>
      <c r="G564" s="198">
        <v>4306830.83</v>
      </c>
      <c r="H564" s="205"/>
      <c r="I564" s="198">
        <v>4228880.41</v>
      </c>
      <c r="K564" s="13"/>
    </row>
    <row r="565" spans="1:11" ht="22.15" customHeight="1" x14ac:dyDescent="0.35">
      <c r="A565" s="194" t="s">
        <v>268</v>
      </c>
      <c r="B565" s="199"/>
      <c r="C565" s="199"/>
      <c r="D565" s="199"/>
      <c r="E565" s="199"/>
      <c r="F565" s="200"/>
      <c r="G565" s="198">
        <v>1192271.9099999999</v>
      </c>
      <c r="H565" s="205"/>
      <c r="I565" s="198">
        <v>585529.55000000005</v>
      </c>
      <c r="K565" s="13"/>
    </row>
    <row r="566" spans="1:11" ht="22.15" customHeight="1" x14ac:dyDescent="0.35">
      <c r="A566" s="194" t="s">
        <v>157</v>
      </c>
      <c r="B566" s="199"/>
      <c r="C566" s="199"/>
      <c r="D566" s="199"/>
      <c r="E566" s="199"/>
      <c r="F566" s="200"/>
      <c r="G566" s="198">
        <v>5017550.6500000004</v>
      </c>
      <c r="H566" s="205"/>
      <c r="I566" s="198">
        <v>4794351.91</v>
      </c>
      <c r="K566" s="13"/>
    </row>
    <row r="567" spans="1:11" ht="22.15" customHeight="1" x14ac:dyDescent="0.35">
      <c r="A567" s="194" t="s">
        <v>82</v>
      </c>
      <c r="B567" s="199"/>
      <c r="C567" s="199"/>
      <c r="D567" s="199"/>
      <c r="E567" s="199"/>
      <c r="F567" s="200"/>
      <c r="G567" s="198">
        <v>2267055.64</v>
      </c>
      <c r="H567" s="205"/>
      <c r="I567" s="198">
        <v>2273650.64</v>
      </c>
      <c r="K567" s="13"/>
    </row>
    <row r="568" spans="1:11" ht="22.15" customHeight="1" x14ac:dyDescent="0.35">
      <c r="A568" s="194" t="s">
        <v>95</v>
      </c>
      <c r="B568" s="199"/>
      <c r="C568" s="199"/>
      <c r="D568" s="199"/>
      <c r="E568" s="199"/>
      <c r="F568" s="200"/>
      <c r="G568" s="198">
        <v>1111448</v>
      </c>
      <c r="H568" s="205"/>
      <c r="I568" s="198">
        <v>2786254</v>
      </c>
      <c r="K568" s="13"/>
    </row>
    <row r="569" spans="1:11" ht="22.15" customHeight="1" x14ac:dyDescent="0.35">
      <c r="A569" s="194" t="s">
        <v>83</v>
      </c>
      <c r="B569" s="199"/>
      <c r="C569" s="199"/>
      <c r="D569" s="199"/>
      <c r="E569" s="199"/>
      <c r="F569" s="200"/>
      <c r="G569" s="198">
        <v>8173235.9500000002</v>
      </c>
      <c r="H569" s="205"/>
      <c r="I569" s="198">
        <v>6116027.0899999999</v>
      </c>
      <c r="K569" s="13"/>
    </row>
    <row r="570" spans="1:11" ht="22.15" customHeight="1" x14ac:dyDescent="0.35">
      <c r="A570" s="194" t="s">
        <v>395</v>
      </c>
      <c r="B570" s="199"/>
      <c r="C570" s="199"/>
      <c r="D570" s="199"/>
      <c r="E570" s="199"/>
      <c r="F570" s="200"/>
      <c r="G570" s="198">
        <f>87231.9+631850.25</f>
        <v>719082.15</v>
      </c>
      <c r="H570" s="205"/>
      <c r="I570" s="198">
        <f>79531.15+437248.41</f>
        <v>516779.55999999994</v>
      </c>
      <c r="K570" s="13">
        <f>+G570+G571</f>
        <v>899766.95</v>
      </c>
    </row>
    <row r="571" spans="1:11" ht="22.15" customHeight="1" x14ac:dyDescent="0.35">
      <c r="A571" s="194" t="s">
        <v>365</v>
      </c>
      <c r="B571" s="199"/>
      <c r="C571" s="199"/>
      <c r="D571" s="199"/>
      <c r="E571" s="199"/>
      <c r="F571" s="200"/>
      <c r="G571" s="198">
        <v>180684.79999999999</v>
      </c>
      <c r="H571" s="205"/>
      <c r="I571" s="198">
        <f>3690820.85+26389.5</f>
        <v>3717210.35</v>
      </c>
      <c r="K571" s="13">
        <f>+G545</f>
        <v>6263166.4299999997</v>
      </c>
    </row>
    <row r="572" spans="1:11" ht="22.15" customHeight="1" x14ac:dyDescent="0.35">
      <c r="A572" s="194" t="s">
        <v>269</v>
      </c>
      <c r="B572" s="199"/>
      <c r="C572" s="199"/>
      <c r="D572" s="199"/>
      <c r="E572" s="199"/>
      <c r="F572" s="200"/>
      <c r="G572" s="198">
        <v>4267169</v>
      </c>
      <c r="H572" s="205"/>
      <c r="I572" s="198">
        <v>4147947.45</v>
      </c>
      <c r="K572" s="13">
        <f>SUM(K570:K571)</f>
        <v>7162933.3799999999</v>
      </c>
    </row>
    <row r="573" spans="1:11" ht="22.15" customHeight="1" x14ac:dyDescent="0.35">
      <c r="A573" s="194" t="s">
        <v>153</v>
      </c>
      <c r="B573" s="199"/>
      <c r="C573" s="199"/>
      <c r="D573" s="199"/>
      <c r="E573" s="199"/>
      <c r="F573" s="200"/>
      <c r="G573" s="198">
        <v>3607356.07</v>
      </c>
      <c r="H573" s="205"/>
      <c r="I573" s="198">
        <f>9500+176826.72</f>
        <v>186326.72</v>
      </c>
      <c r="K573" s="13"/>
    </row>
    <row r="574" spans="1:11" ht="22.15" customHeight="1" x14ac:dyDescent="0.35">
      <c r="A574" s="194" t="s">
        <v>154</v>
      </c>
      <c r="B574" s="199"/>
      <c r="C574" s="199"/>
      <c r="D574" s="199"/>
      <c r="E574" s="199"/>
      <c r="F574" s="200"/>
      <c r="G574" s="198">
        <v>3870209.7</v>
      </c>
      <c r="H574" s="205"/>
      <c r="I574" s="198">
        <v>1833499.98</v>
      </c>
      <c r="K574" s="13"/>
    </row>
    <row r="575" spans="1:11" ht="22.15" customHeight="1" x14ac:dyDescent="0.35">
      <c r="A575" s="194" t="s">
        <v>366</v>
      </c>
      <c r="B575" s="199"/>
      <c r="C575" s="199"/>
      <c r="D575" s="199"/>
      <c r="E575" s="199"/>
      <c r="F575" s="200"/>
      <c r="G575" s="198">
        <v>2053312</v>
      </c>
      <c r="H575" s="205"/>
      <c r="I575" s="198">
        <v>0</v>
      </c>
    </row>
    <row r="576" spans="1:11" ht="22.15" customHeight="1" x14ac:dyDescent="0.35">
      <c r="A576" s="194" t="s">
        <v>84</v>
      </c>
      <c r="B576" s="199"/>
      <c r="C576" s="199"/>
      <c r="D576" s="199"/>
      <c r="E576" s="199"/>
      <c r="F576" s="200"/>
      <c r="G576" s="198">
        <v>18000</v>
      </c>
      <c r="H576" s="205"/>
      <c r="I576" s="198">
        <f>1255909.4+2936+15500</f>
        <v>1274345.3999999999</v>
      </c>
    </row>
    <row r="577" spans="1:11" ht="22.15" customHeight="1" x14ac:dyDescent="0.35">
      <c r="A577" s="194" t="s">
        <v>167</v>
      </c>
      <c r="B577" s="199"/>
      <c r="C577" s="199"/>
      <c r="D577" s="199"/>
      <c r="E577" s="199"/>
      <c r="F577" s="200"/>
      <c r="G577" s="198">
        <v>7016291.2300000004</v>
      </c>
      <c r="H577" s="205"/>
      <c r="I577" s="198">
        <v>6287702.2599999998</v>
      </c>
    </row>
    <row r="578" spans="1:11" ht="22.15" hidden="1" customHeight="1" x14ac:dyDescent="0.35">
      <c r="A578" s="194" t="s">
        <v>394</v>
      </c>
      <c r="B578" s="199"/>
      <c r="C578" s="199"/>
      <c r="D578" s="199"/>
      <c r="E578" s="199"/>
      <c r="F578" s="200"/>
      <c r="G578" s="198"/>
      <c r="H578" s="205"/>
      <c r="I578" s="198"/>
    </row>
    <row r="579" spans="1:11" ht="22.15" customHeight="1" x14ac:dyDescent="0.35">
      <c r="A579" s="231" t="s">
        <v>262</v>
      </c>
      <c r="B579" s="232"/>
      <c r="C579" s="232"/>
      <c r="D579" s="232"/>
      <c r="E579" s="232"/>
      <c r="F579" s="242"/>
      <c r="G579" s="198">
        <v>0</v>
      </c>
      <c r="H579" s="205"/>
      <c r="I579" s="198">
        <f>1420407.23+45000</f>
        <v>1465407.23</v>
      </c>
    </row>
    <row r="580" spans="1:11" ht="22.15" customHeight="1" x14ac:dyDescent="0.35">
      <c r="A580" s="194" t="s">
        <v>265</v>
      </c>
      <c r="B580" s="199"/>
      <c r="C580" s="199"/>
      <c r="D580" s="199"/>
      <c r="E580" s="199"/>
      <c r="F580" s="200"/>
      <c r="G580" s="198">
        <v>18725001.48</v>
      </c>
      <c r="H580" s="205"/>
      <c r="I580" s="198">
        <v>13167286.5</v>
      </c>
    </row>
    <row r="581" spans="1:11" x14ac:dyDescent="0.35">
      <c r="A581" s="174" t="s">
        <v>367</v>
      </c>
      <c r="G581" s="198">
        <f>266200+1.14+168801</f>
        <v>435002.14</v>
      </c>
      <c r="I581" s="198">
        <v>1500.15</v>
      </c>
    </row>
    <row r="582" spans="1:11" ht="22.15" customHeight="1" x14ac:dyDescent="0.35">
      <c r="A582" s="189" t="s">
        <v>173</v>
      </c>
      <c r="B582" s="199"/>
      <c r="C582" s="199"/>
      <c r="D582" s="199"/>
      <c r="E582" s="199"/>
      <c r="F582" s="200"/>
      <c r="G582" s="193">
        <f>SUM(G563:G581)</f>
        <v>70720963.010000005</v>
      </c>
      <c r="H582" s="205"/>
      <c r="I582" s="193">
        <f>SUM(I563:I581)</f>
        <v>59880548.879999988</v>
      </c>
      <c r="K582" s="13"/>
    </row>
    <row r="583" spans="1:11" ht="22.15" customHeight="1" x14ac:dyDescent="0.35">
      <c r="K583" s="13"/>
    </row>
    <row r="584" spans="1:11" ht="22.15" customHeight="1" x14ac:dyDescent="0.35">
      <c r="K584" s="13"/>
    </row>
    <row r="585" spans="1:11" ht="22.15" customHeight="1" x14ac:dyDescent="0.35">
      <c r="G585" s="230"/>
      <c r="K585" s="13"/>
    </row>
    <row r="586" spans="1:11" ht="22.15" customHeight="1" x14ac:dyDescent="0.35">
      <c r="A586" s="196"/>
      <c r="B586" s="196"/>
      <c r="C586" s="196"/>
      <c r="D586" s="196"/>
      <c r="E586" s="196"/>
      <c r="F586" s="196"/>
      <c r="G586" s="174"/>
      <c r="H586" s="204"/>
      <c r="I586" s="230"/>
      <c r="K586" s="13"/>
    </row>
    <row r="587" spans="1:11" ht="22.15" customHeight="1" x14ac:dyDescent="0.35">
      <c r="A587" s="196"/>
      <c r="B587" s="196"/>
      <c r="C587" s="196"/>
      <c r="D587" s="196"/>
      <c r="E587" s="196"/>
      <c r="F587" s="196"/>
      <c r="G587" s="230"/>
      <c r="H587" s="204"/>
      <c r="I587" s="230"/>
      <c r="K587" s="13"/>
    </row>
    <row r="588" spans="1:11" ht="22.15" customHeight="1" x14ac:dyDescent="0.35">
      <c r="A588" s="182" t="s">
        <v>89</v>
      </c>
      <c r="B588" s="196" t="s">
        <v>93</v>
      </c>
      <c r="C588" s="196"/>
      <c r="D588" s="196"/>
      <c r="E588" s="196"/>
      <c r="F588" s="196"/>
      <c r="G588" s="230"/>
      <c r="H588" s="204"/>
      <c r="I588" s="230"/>
      <c r="K588" s="13"/>
    </row>
    <row r="589" spans="1:11" ht="22.15" customHeight="1" x14ac:dyDescent="0.35">
      <c r="A589" s="182"/>
      <c r="B589" s="196"/>
      <c r="C589" s="196"/>
      <c r="D589" s="196"/>
      <c r="E589" s="196"/>
      <c r="F589" s="196"/>
      <c r="G589" s="230"/>
      <c r="H589" s="204"/>
      <c r="I589" s="230"/>
      <c r="K589" s="13"/>
    </row>
    <row r="590" spans="1:11" ht="22.15" customHeight="1" x14ac:dyDescent="0.35">
      <c r="A590" s="201" t="s">
        <v>471</v>
      </c>
      <c r="B590" s="196"/>
      <c r="C590" s="196"/>
      <c r="D590" s="196"/>
      <c r="E590" s="196"/>
      <c r="F590" s="196"/>
      <c r="G590" s="230"/>
      <c r="H590" s="204"/>
      <c r="I590" s="230"/>
      <c r="K590" s="13"/>
    </row>
    <row r="591" spans="1:11" ht="22.15" customHeight="1" x14ac:dyDescent="0.35">
      <c r="A591" s="201"/>
      <c r="B591" s="196"/>
      <c r="C591" s="196"/>
      <c r="D591" s="196"/>
      <c r="E591" s="196"/>
      <c r="F591" s="196"/>
      <c r="G591" s="230"/>
      <c r="H591" s="204"/>
      <c r="I591" s="230"/>
    </row>
    <row r="592" spans="1:11" ht="22.15" customHeight="1" x14ac:dyDescent="0.35">
      <c r="A592" s="265" t="s">
        <v>4</v>
      </c>
      <c r="B592" s="266"/>
      <c r="C592" s="266"/>
      <c r="D592" s="266"/>
      <c r="E592" s="266"/>
      <c r="F592" s="267"/>
      <c r="G592" s="209">
        <v>2025</v>
      </c>
      <c r="H592" s="204"/>
      <c r="I592" s="209">
        <v>2024</v>
      </c>
    </row>
    <row r="593" spans="1:11" ht="22.15" customHeight="1" x14ac:dyDescent="0.35">
      <c r="A593" s="194" t="s">
        <v>497</v>
      </c>
      <c r="B593" s="199"/>
      <c r="C593" s="199"/>
      <c r="D593" s="199"/>
      <c r="E593" s="199"/>
      <c r="F593" s="200"/>
      <c r="G593" s="198">
        <v>354442.26</v>
      </c>
      <c r="H593" s="205"/>
      <c r="I593" s="198">
        <v>146746.95000000001</v>
      </c>
    </row>
    <row r="594" spans="1:11" ht="22.15" customHeight="1" x14ac:dyDescent="0.35">
      <c r="A594" s="189" t="s">
        <v>94</v>
      </c>
      <c r="B594" s="190"/>
      <c r="C594" s="190"/>
      <c r="D594" s="190"/>
      <c r="E594" s="190"/>
      <c r="F594" s="191"/>
      <c r="G594" s="193">
        <f>SUM(G593)</f>
        <v>354442.26</v>
      </c>
      <c r="H594" s="205"/>
      <c r="I594" s="193">
        <f>SUM(I593)</f>
        <v>146746.95000000001</v>
      </c>
      <c r="K594" s="13"/>
    </row>
    <row r="595" spans="1:11" ht="22.15" customHeight="1" x14ac:dyDescent="0.35">
      <c r="A595" s="196"/>
      <c r="B595" s="196"/>
      <c r="C595" s="196"/>
      <c r="D595" s="196"/>
      <c r="E595" s="196"/>
      <c r="F595" s="196"/>
      <c r="G595" s="230"/>
      <c r="H595" s="204"/>
      <c r="I595" s="230"/>
      <c r="K595" s="13"/>
    </row>
    <row r="596" spans="1:11" ht="22.15" customHeight="1" x14ac:dyDescent="0.35">
      <c r="B596" s="182"/>
      <c r="C596" s="182"/>
      <c r="D596" s="182"/>
      <c r="E596" s="182"/>
      <c r="F596" s="182"/>
      <c r="G596" s="183"/>
      <c r="I596" s="183"/>
      <c r="K596" s="13"/>
    </row>
    <row r="597" spans="1:11" ht="22.15" customHeight="1" x14ac:dyDescent="0.35">
      <c r="B597" s="182"/>
      <c r="C597" s="182"/>
      <c r="D597" s="182"/>
      <c r="E597" s="182"/>
      <c r="F597" s="182"/>
      <c r="G597" s="183"/>
      <c r="I597" s="183"/>
    </row>
    <row r="598" spans="1:11" ht="22.15" customHeight="1" x14ac:dyDescent="0.35">
      <c r="B598" s="182"/>
      <c r="C598" s="182"/>
      <c r="D598" s="182"/>
      <c r="E598" s="182"/>
      <c r="F598" s="182"/>
      <c r="G598" s="183"/>
      <c r="I598" s="183"/>
      <c r="K598" s="13"/>
    </row>
    <row r="599" spans="1:11" ht="22.15" customHeight="1" x14ac:dyDescent="0.35">
      <c r="A599" s="182" t="s">
        <v>92</v>
      </c>
      <c r="B599" s="196" t="s">
        <v>348</v>
      </c>
      <c r="C599" s="196"/>
      <c r="D599" s="196"/>
      <c r="E599" s="196"/>
      <c r="F599" s="196"/>
      <c r="G599" s="230"/>
      <c r="H599" s="204"/>
      <c r="I599" s="230"/>
      <c r="K599" s="13"/>
    </row>
    <row r="600" spans="1:11" s="182" customFormat="1" ht="22.15" customHeight="1" x14ac:dyDescent="0.35">
      <c r="B600" s="196"/>
      <c r="C600" s="196"/>
      <c r="D600" s="196"/>
      <c r="E600" s="196"/>
      <c r="F600" s="196"/>
      <c r="G600" s="230"/>
      <c r="H600" s="204"/>
      <c r="I600" s="230"/>
      <c r="K600" s="14"/>
    </row>
    <row r="601" spans="1:11" ht="22.15" customHeight="1" x14ac:dyDescent="0.35">
      <c r="A601" s="201" t="s">
        <v>472</v>
      </c>
      <c r="B601" s="196"/>
      <c r="C601" s="196"/>
      <c r="D601" s="196"/>
      <c r="E601" s="196"/>
      <c r="F601" s="196"/>
      <c r="G601" s="230"/>
      <c r="H601" s="204"/>
      <c r="I601" s="230"/>
      <c r="K601" s="13"/>
    </row>
    <row r="602" spans="1:11" ht="22.15" customHeight="1" x14ac:dyDescent="0.35">
      <c r="A602" s="174" t="s">
        <v>152</v>
      </c>
      <c r="B602" s="182"/>
      <c r="C602" s="182"/>
      <c r="D602" s="182"/>
      <c r="E602" s="182"/>
      <c r="F602" s="182"/>
      <c r="G602" s="183"/>
      <c r="I602" s="183"/>
      <c r="K602" s="13"/>
    </row>
    <row r="603" spans="1:11" ht="22.15" customHeight="1" x14ac:dyDescent="0.35">
      <c r="B603" s="182"/>
      <c r="C603" s="182"/>
      <c r="D603" s="182"/>
      <c r="E603" s="182"/>
      <c r="F603" s="182"/>
      <c r="G603" s="183"/>
      <c r="I603" s="183"/>
      <c r="K603" s="13"/>
    </row>
    <row r="604" spans="1:11" ht="22.15" customHeight="1" x14ac:dyDescent="0.35">
      <c r="A604" s="265" t="s">
        <v>4</v>
      </c>
      <c r="B604" s="266"/>
      <c r="C604" s="266"/>
      <c r="D604" s="266"/>
      <c r="E604" s="266"/>
      <c r="F604" s="267"/>
      <c r="G604" s="209">
        <v>2025</v>
      </c>
      <c r="H604" s="204"/>
      <c r="I604" s="209">
        <v>2024</v>
      </c>
      <c r="K604" s="13"/>
    </row>
    <row r="605" spans="1:11" ht="22.15" customHeight="1" x14ac:dyDescent="0.35">
      <c r="A605" s="194" t="s">
        <v>151</v>
      </c>
      <c r="B605" s="199"/>
      <c r="C605" s="199"/>
      <c r="D605" s="199"/>
      <c r="E605" s="199"/>
      <c r="F605" s="200"/>
      <c r="G605" s="198">
        <v>9113.16</v>
      </c>
      <c r="H605" s="205"/>
      <c r="I605" s="198">
        <v>1416.89</v>
      </c>
      <c r="K605" s="13"/>
    </row>
    <row r="606" spans="1:11" ht="22.15" customHeight="1" x14ac:dyDescent="0.35">
      <c r="A606" s="189" t="s">
        <v>349</v>
      </c>
      <c r="B606" s="190"/>
      <c r="C606" s="190"/>
      <c r="D606" s="190"/>
      <c r="E606" s="190"/>
      <c r="F606" s="191"/>
      <c r="G606" s="193">
        <f>SUM(G605:G605)</f>
        <v>9113.16</v>
      </c>
      <c r="H606" s="204"/>
      <c r="I606" s="193">
        <f>SUM(I605:I605)</f>
        <v>1416.89</v>
      </c>
      <c r="K606" s="13"/>
    </row>
    <row r="607" spans="1:11" ht="22.15" hidden="1" customHeight="1" x14ac:dyDescent="0.35">
      <c r="A607" s="196"/>
      <c r="B607" s="196"/>
      <c r="C607" s="196"/>
      <c r="D607" s="196"/>
      <c r="E607" s="196"/>
      <c r="F607" s="196"/>
      <c r="G607" s="230"/>
      <c r="H607" s="204"/>
      <c r="I607" s="230"/>
      <c r="K607" s="13"/>
    </row>
    <row r="608" spans="1:11" ht="22.15" hidden="1" customHeight="1" x14ac:dyDescent="0.35">
      <c r="A608" s="182"/>
      <c r="B608" s="196"/>
      <c r="C608" s="196"/>
      <c r="D608" s="196"/>
      <c r="E608" s="196"/>
      <c r="F608" s="196"/>
      <c r="G608" s="230">
        <f>+G606+G594+G582+G555+G545+G534+G516+G495</f>
        <v>300089062.25999999</v>
      </c>
      <c r="H608" s="204"/>
      <c r="I608" s="230">
        <f>+I606+I594+I582+I555+I545+I534+I516+I495-0.16</f>
        <v>265041465.82999995</v>
      </c>
      <c r="K608" s="13"/>
    </row>
    <row r="609" spans="1:11" ht="22.15" hidden="1" customHeight="1" x14ac:dyDescent="0.35">
      <c r="A609" s="196"/>
      <c r="B609" s="196"/>
      <c r="C609" s="196"/>
      <c r="D609" s="196"/>
      <c r="E609" s="196"/>
      <c r="F609" s="196"/>
      <c r="G609" s="230">
        <v>265041465.99000001</v>
      </c>
      <c r="H609" s="204"/>
      <c r="I609" s="230">
        <v>252911047.47999999</v>
      </c>
      <c r="K609" s="13"/>
    </row>
    <row r="610" spans="1:11" ht="22.15" hidden="1" customHeight="1" x14ac:dyDescent="0.35">
      <c r="A610" s="196"/>
      <c r="B610" s="196"/>
      <c r="C610" s="196"/>
      <c r="D610" s="196"/>
      <c r="E610" s="196"/>
      <c r="F610" s="196"/>
      <c r="G610" s="230">
        <f>+G608-G609</f>
        <v>35047596.269999981</v>
      </c>
      <c r="H610" s="204"/>
      <c r="I610" s="230">
        <f>+I608-I609</f>
        <v>12130418.349999964</v>
      </c>
      <c r="K610" s="13"/>
    </row>
    <row r="611" spans="1:11" ht="22.15" customHeight="1" x14ac:dyDescent="0.35">
      <c r="A611" s="196"/>
      <c r="B611" s="196"/>
      <c r="C611" s="196"/>
      <c r="D611" s="196"/>
      <c r="E611" s="196"/>
      <c r="F611" s="196"/>
      <c r="G611" s="230"/>
      <c r="H611" s="204"/>
      <c r="I611" s="230"/>
      <c r="K611" s="13"/>
    </row>
    <row r="612" spans="1:11" ht="22.15" customHeight="1" x14ac:dyDescent="0.35">
      <c r="A612" s="196"/>
      <c r="B612" s="196"/>
      <c r="C612" s="196"/>
      <c r="D612" s="196"/>
      <c r="E612" s="196"/>
      <c r="F612" s="196"/>
      <c r="G612" s="230">
        <f>+G606+G594+G582+G555+G545+G534+G516+G495</f>
        <v>300089062.25999999</v>
      </c>
      <c r="H612" s="230">
        <f t="shared" ref="H612:I612" si="1">+H606+H594+H582+H555+H545+H534+H516+H495</f>
        <v>0</v>
      </c>
      <c r="I612" s="230">
        <f t="shared" si="1"/>
        <v>265041465.98999995</v>
      </c>
      <c r="K612" s="13"/>
    </row>
    <row r="613" spans="1:11" ht="22.15" customHeight="1" x14ac:dyDescent="0.35">
      <c r="A613" s="196"/>
      <c r="B613" s="196"/>
      <c r="C613" s="196"/>
      <c r="D613" s="196"/>
      <c r="E613" s="196"/>
      <c r="F613" s="196"/>
      <c r="G613" s="230"/>
      <c r="H613" s="204"/>
      <c r="I613" s="230"/>
      <c r="K613" s="13"/>
    </row>
    <row r="614" spans="1:11" ht="22.15" customHeight="1" x14ac:dyDescent="0.35">
      <c r="A614" s="196"/>
      <c r="B614" s="196"/>
      <c r="C614" s="196"/>
      <c r="D614" s="196"/>
      <c r="E614" s="196"/>
      <c r="F614" s="196"/>
      <c r="G614" s="230">
        <f>+G460-G612</f>
        <v>-48974669.719999999</v>
      </c>
      <c r="H614" s="230">
        <f>+H460-H612</f>
        <v>0</v>
      </c>
      <c r="I614" s="230">
        <f>+I460-I612</f>
        <v>-4704321.1299999356</v>
      </c>
      <c r="K614" s="13"/>
    </row>
    <row r="615" spans="1:11" ht="22.15" customHeight="1" x14ac:dyDescent="0.35">
      <c r="A615" s="196"/>
      <c r="B615" s="196"/>
      <c r="C615" s="196"/>
      <c r="D615" s="196"/>
      <c r="E615" s="196"/>
      <c r="F615" s="196"/>
      <c r="G615" s="230"/>
      <c r="H615" s="204"/>
      <c r="I615" s="230"/>
      <c r="K615" s="13"/>
    </row>
    <row r="616" spans="1:11" s="16" customFormat="1" ht="12.75" x14ac:dyDescent="0.2">
      <c r="A616" s="173"/>
      <c r="B616" s="173"/>
      <c r="C616" s="173"/>
      <c r="D616" s="256"/>
    </row>
    <row r="617" spans="1:11" s="16" customFormat="1" ht="12.75" x14ac:dyDescent="0.2">
      <c r="A617" s="173"/>
      <c r="B617" s="173"/>
      <c r="C617" s="173"/>
      <c r="D617" s="256"/>
    </row>
    <row r="618" spans="1:11" s="16" customFormat="1" ht="12.75" x14ac:dyDescent="0.2">
      <c r="A618" s="281"/>
      <c r="B618" s="281"/>
      <c r="C618" s="281"/>
      <c r="D618" s="281"/>
    </row>
    <row r="619" spans="1:11" s="16" customFormat="1" ht="12.75" x14ac:dyDescent="0.2">
      <c r="A619" s="282"/>
      <c r="B619" s="282"/>
      <c r="C619" s="282"/>
      <c r="D619" s="282"/>
    </row>
    <row r="620" spans="1:11" s="16" customFormat="1" ht="12.75" x14ac:dyDescent="0.2"/>
    <row r="621" spans="1:11" s="16" customFormat="1" ht="12.75" x14ac:dyDescent="0.2">
      <c r="A621" s="173"/>
      <c r="B621" s="173"/>
      <c r="C621" s="173"/>
      <c r="D621" s="173"/>
    </row>
    <row r="622" spans="1:11" s="16" customFormat="1" ht="12.75" x14ac:dyDescent="0.2">
      <c r="A622" s="281"/>
      <c r="B622" s="281"/>
      <c r="C622" s="281"/>
      <c r="D622" s="281"/>
    </row>
    <row r="623" spans="1:11" s="16" customFormat="1" ht="12.75" x14ac:dyDescent="0.2">
      <c r="A623" s="173"/>
      <c r="B623" s="173"/>
      <c r="C623" s="173"/>
      <c r="D623" s="173"/>
    </row>
    <row r="624" spans="1:11" s="16" customFormat="1" ht="12.75" x14ac:dyDescent="0.2">
      <c r="A624" s="173"/>
      <c r="B624" s="173"/>
      <c r="C624" s="173"/>
      <c r="D624" s="173"/>
    </row>
    <row r="625" spans="1:11" s="16" customFormat="1" ht="12.75" x14ac:dyDescent="0.2">
      <c r="A625" s="173"/>
      <c r="B625" s="173"/>
      <c r="C625" s="173"/>
      <c r="D625" s="173"/>
    </row>
    <row r="626" spans="1:11" s="16" customFormat="1" ht="12.75" x14ac:dyDescent="0.2">
      <c r="A626" s="173"/>
      <c r="B626" s="173"/>
      <c r="C626" s="173"/>
      <c r="D626" s="173"/>
    </row>
    <row r="627" spans="1:11" s="16" customFormat="1" ht="12.75" x14ac:dyDescent="0.2">
      <c r="A627" s="257"/>
      <c r="B627" s="258"/>
      <c r="C627" s="257"/>
      <c r="D627" s="258"/>
    </row>
    <row r="628" spans="1:11" s="16" customFormat="1" ht="12.75" x14ac:dyDescent="0.2">
      <c r="A628" s="257"/>
      <c r="B628" s="259"/>
      <c r="C628" s="257"/>
      <c r="D628" s="258"/>
    </row>
    <row r="629" spans="1:11" s="16" customFormat="1" ht="12.75" x14ac:dyDescent="0.2">
      <c r="A629" s="260"/>
      <c r="B629" s="260"/>
    </row>
    <row r="630" spans="1:11" s="16" customFormat="1" ht="12.75" x14ac:dyDescent="0.2">
      <c r="A630" s="260"/>
    </row>
    <row r="631" spans="1:11" s="16" customFormat="1" ht="12.75" x14ac:dyDescent="0.2">
      <c r="A631" s="260"/>
    </row>
    <row r="632" spans="1:11" s="16" customFormat="1" ht="12.75" x14ac:dyDescent="0.2">
      <c r="A632" s="260"/>
    </row>
    <row r="633" spans="1:11" s="38" customFormat="1" ht="12.75" x14ac:dyDescent="0.2">
      <c r="A633" s="16"/>
      <c r="B633" s="16"/>
      <c r="C633" s="16"/>
      <c r="F633" s="16"/>
      <c r="G633" s="16"/>
      <c r="H633" s="16"/>
    </row>
    <row r="634" spans="1:11" s="261" customFormat="1" ht="12.75" x14ac:dyDescent="0.2"/>
    <row r="635" spans="1:11" ht="22.15" customHeight="1" x14ac:dyDescent="0.35">
      <c r="A635" s="196"/>
      <c r="B635" s="196"/>
      <c r="C635" s="196"/>
      <c r="D635" s="196"/>
      <c r="E635" s="196"/>
      <c r="F635" s="196"/>
      <c r="G635" s="230"/>
      <c r="H635" s="204"/>
      <c r="I635" s="230"/>
      <c r="K635" s="13"/>
    </row>
    <row r="636" spans="1:11" ht="22.15" customHeight="1" x14ac:dyDescent="0.35">
      <c r="A636" s="196"/>
      <c r="B636" s="196"/>
      <c r="C636" s="196"/>
      <c r="D636" s="196"/>
      <c r="E636" s="196"/>
      <c r="F636" s="196"/>
      <c r="G636" s="230"/>
      <c r="H636" s="204"/>
      <c r="I636" s="230"/>
      <c r="K636" s="13"/>
    </row>
    <row r="637" spans="1:11" ht="22.15" customHeight="1" x14ac:dyDescent="0.35">
      <c r="A637" s="196"/>
      <c r="B637" s="196"/>
      <c r="C637" s="196"/>
      <c r="D637" s="196"/>
      <c r="E637" s="196"/>
      <c r="F637" s="196"/>
      <c r="G637" s="230"/>
      <c r="H637" s="204"/>
      <c r="I637" s="230"/>
      <c r="K637" s="13"/>
    </row>
    <row r="638" spans="1:11" s="16" customFormat="1" ht="12.75" x14ac:dyDescent="0.2">
      <c r="A638" s="173"/>
      <c r="B638" s="173"/>
      <c r="C638" s="173"/>
      <c r="D638" s="256"/>
    </row>
    <row r="639" spans="1:11" s="16" customFormat="1" ht="12.75" x14ac:dyDescent="0.2">
      <c r="A639" s="173"/>
      <c r="B639" s="173"/>
      <c r="C639" s="173"/>
      <c r="D639" s="256"/>
    </row>
    <row r="640" spans="1:11" s="16" customFormat="1" ht="12.75" x14ac:dyDescent="0.2">
      <c r="A640" s="281"/>
      <c r="B640" s="281"/>
      <c r="C640" s="281"/>
      <c r="D640" s="281"/>
    </row>
    <row r="641" spans="1:8" s="16" customFormat="1" ht="12.75" x14ac:dyDescent="0.2">
      <c r="A641" s="282"/>
      <c r="B641" s="282"/>
      <c r="C641" s="282"/>
      <c r="D641" s="282"/>
    </row>
    <row r="642" spans="1:8" s="16" customFormat="1" ht="12.75" x14ac:dyDescent="0.2"/>
    <row r="643" spans="1:8" s="16" customFormat="1" ht="12.75" x14ac:dyDescent="0.2">
      <c r="A643" s="173"/>
      <c r="B643" s="173"/>
      <c r="C643" s="173"/>
      <c r="D643" s="173"/>
    </row>
    <row r="644" spans="1:8" s="16" customFormat="1" ht="12.75" x14ac:dyDescent="0.2">
      <c r="A644" s="281"/>
      <c r="B644" s="281"/>
      <c r="C644" s="281"/>
      <c r="D644" s="281"/>
    </row>
    <row r="645" spans="1:8" s="16" customFormat="1" ht="12.75" x14ac:dyDescent="0.2">
      <c r="A645" s="173"/>
      <c r="B645" s="173"/>
      <c r="C645" s="173"/>
      <c r="D645" s="173"/>
    </row>
    <row r="646" spans="1:8" s="16" customFormat="1" ht="12.75" x14ac:dyDescent="0.2">
      <c r="A646" s="173"/>
      <c r="B646" s="173"/>
      <c r="C646" s="173"/>
      <c r="D646" s="173"/>
    </row>
    <row r="647" spans="1:8" s="16" customFormat="1" ht="12.75" x14ac:dyDescent="0.2">
      <c r="A647" s="173"/>
      <c r="B647" s="173"/>
      <c r="C647" s="173"/>
      <c r="D647" s="173"/>
    </row>
    <row r="648" spans="1:8" s="16" customFormat="1" ht="12.75" x14ac:dyDescent="0.2">
      <c r="A648" s="173"/>
      <c r="B648" s="173"/>
      <c r="C648" s="173"/>
      <c r="D648" s="173"/>
    </row>
    <row r="649" spans="1:8" s="16" customFormat="1" ht="12.75" x14ac:dyDescent="0.2">
      <c r="A649" s="257"/>
      <c r="B649" s="258"/>
      <c r="C649" s="257"/>
      <c r="D649" s="258"/>
    </row>
    <row r="650" spans="1:8" s="16" customFormat="1" ht="12.75" x14ac:dyDescent="0.2">
      <c r="A650" s="257"/>
      <c r="B650" s="259"/>
      <c r="C650" s="257"/>
      <c r="D650" s="258"/>
    </row>
    <row r="651" spans="1:8" s="16" customFormat="1" ht="12.75" x14ac:dyDescent="0.2">
      <c r="A651" s="260"/>
      <c r="B651" s="260"/>
    </row>
    <row r="652" spans="1:8" s="16" customFormat="1" ht="12.75" x14ac:dyDescent="0.2">
      <c r="A652" s="260"/>
    </row>
    <row r="653" spans="1:8" s="16" customFormat="1" ht="12.75" x14ac:dyDescent="0.2">
      <c r="A653" s="260"/>
    </row>
    <row r="654" spans="1:8" s="16" customFormat="1" ht="12.75" x14ac:dyDescent="0.2">
      <c r="A654" s="260"/>
    </row>
    <row r="655" spans="1:8" s="38" customFormat="1" ht="12.75" x14ac:dyDescent="0.2">
      <c r="A655" s="16"/>
      <c r="B655" s="16"/>
      <c r="C655" s="16"/>
      <c r="F655" s="16"/>
      <c r="G655" s="16"/>
      <c r="H655" s="16"/>
    </row>
    <row r="656" spans="1:8" s="261" customFormat="1" ht="12.75" x14ac:dyDescent="0.2"/>
    <row r="657" spans="1:11" ht="22.15" customHeight="1" x14ac:dyDescent="0.35">
      <c r="A657" s="196"/>
      <c r="B657" s="196"/>
      <c r="C657" s="196"/>
      <c r="D657" s="196"/>
      <c r="E657" s="196"/>
      <c r="F657" s="196"/>
      <c r="G657" s="230"/>
      <c r="H657" s="204"/>
      <c r="I657" s="230"/>
      <c r="K657" s="13"/>
    </row>
    <row r="658" spans="1:11" ht="22.15" customHeight="1" x14ac:dyDescent="0.35">
      <c r="A658" s="196"/>
      <c r="B658" s="196"/>
      <c r="C658" s="196"/>
      <c r="D658" s="196"/>
      <c r="E658" s="196"/>
      <c r="F658" s="196"/>
      <c r="G658" s="230"/>
      <c r="H658" s="204"/>
      <c r="I658" s="230"/>
      <c r="K658" s="13"/>
    </row>
    <row r="659" spans="1:11" ht="22.15" customHeight="1" x14ac:dyDescent="0.35">
      <c r="A659" s="196"/>
      <c r="B659" s="196"/>
      <c r="C659" s="196"/>
      <c r="D659" s="196"/>
      <c r="E659" s="196"/>
      <c r="F659" s="196"/>
      <c r="G659" s="230"/>
      <c r="H659" s="204"/>
      <c r="I659" s="230"/>
      <c r="K659" s="13"/>
    </row>
    <row r="660" spans="1:11" s="16" customFormat="1" ht="12.75" x14ac:dyDescent="0.2">
      <c r="A660" s="173"/>
      <c r="B660" s="173"/>
      <c r="C660" s="173"/>
      <c r="D660" s="256"/>
    </row>
    <row r="661" spans="1:11" s="16" customFormat="1" ht="12.75" x14ac:dyDescent="0.2">
      <c r="A661" s="173"/>
      <c r="B661" s="173"/>
      <c r="C661" s="173"/>
      <c r="D661" s="256"/>
    </row>
    <row r="662" spans="1:11" s="16" customFormat="1" ht="12.75" x14ac:dyDescent="0.2">
      <c r="A662" s="281"/>
      <c r="B662" s="281"/>
      <c r="C662" s="281"/>
      <c r="D662" s="281"/>
    </row>
    <row r="663" spans="1:11" s="16" customFormat="1" ht="12.75" x14ac:dyDescent="0.2">
      <c r="A663" s="282"/>
      <c r="B663" s="282"/>
      <c r="C663" s="282"/>
      <c r="D663" s="282"/>
    </row>
    <row r="664" spans="1:11" s="16" customFormat="1" ht="12.75" x14ac:dyDescent="0.2"/>
    <row r="665" spans="1:11" s="16" customFormat="1" ht="12.75" x14ac:dyDescent="0.2">
      <c r="A665" s="173"/>
      <c r="B665" s="173"/>
      <c r="C665" s="173"/>
      <c r="D665" s="173"/>
    </row>
    <row r="666" spans="1:11" s="16" customFormat="1" ht="12.75" x14ac:dyDescent="0.2">
      <c r="A666" s="281"/>
      <c r="B666" s="281"/>
      <c r="C666" s="281"/>
      <c r="D666" s="281"/>
    </row>
    <row r="667" spans="1:11" s="16" customFormat="1" ht="12.75" x14ac:dyDescent="0.2">
      <c r="A667" s="173"/>
      <c r="B667" s="173"/>
      <c r="C667" s="173"/>
      <c r="D667" s="173"/>
    </row>
    <row r="668" spans="1:11" s="16" customFormat="1" ht="12.75" x14ac:dyDescent="0.2">
      <c r="A668" s="173"/>
      <c r="B668" s="173"/>
      <c r="C668" s="173"/>
      <c r="D668" s="173"/>
    </row>
    <row r="669" spans="1:11" s="16" customFormat="1" ht="12.75" x14ac:dyDescent="0.2">
      <c r="A669" s="173"/>
      <c r="B669" s="173"/>
      <c r="C669" s="173"/>
      <c r="D669" s="173"/>
    </row>
    <row r="670" spans="1:11" s="16" customFormat="1" ht="12.75" x14ac:dyDescent="0.2">
      <c r="A670" s="173"/>
      <c r="B670" s="173"/>
      <c r="C670" s="173"/>
      <c r="D670" s="173"/>
    </row>
    <row r="671" spans="1:11" s="16" customFormat="1" ht="12.75" x14ac:dyDescent="0.2">
      <c r="A671" s="257"/>
      <c r="B671" s="258"/>
      <c r="C671" s="257"/>
      <c r="D671" s="258"/>
    </row>
    <row r="672" spans="1:11" s="16" customFormat="1" ht="12.75" x14ac:dyDescent="0.2">
      <c r="A672" s="257"/>
      <c r="B672" s="259"/>
      <c r="C672" s="257"/>
      <c r="D672" s="258"/>
    </row>
    <row r="673" spans="1:11" s="16" customFormat="1" ht="12.75" x14ac:dyDescent="0.2">
      <c r="A673" s="260"/>
      <c r="B673" s="260"/>
    </row>
    <row r="674" spans="1:11" s="16" customFormat="1" ht="12.75" x14ac:dyDescent="0.2">
      <c r="A674" s="260"/>
    </row>
    <row r="675" spans="1:11" s="16" customFormat="1" ht="12.75" x14ac:dyDescent="0.2">
      <c r="A675" s="260"/>
    </row>
    <row r="676" spans="1:11" s="16" customFormat="1" ht="12.75" x14ac:dyDescent="0.2">
      <c r="A676" s="260"/>
    </row>
    <row r="677" spans="1:11" s="38" customFormat="1" ht="12.75" x14ac:dyDescent="0.2">
      <c r="A677" s="16"/>
      <c r="B677" s="16"/>
      <c r="C677" s="16"/>
      <c r="F677" s="16"/>
      <c r="G677" s="16"/>
      <c r="H677" s="16"/>
    </row>
    <row r="678" spans="1:11" s="261" customFormat="1" ht="12.75" x14ac:dyDescent="0.2"/>
    <row r="679" spans="1:11" ht="22.15" customHeight="1" x14ac:dyDescent="0.35">
      <c r="A679" s="196"/>
      <c r="B679" s="196"/>
      <c r="C679" s="196"/>
      <c r="D679" s="196"/>
      <c r="E679" s="196"/>
      <c r="F679" s="196"/>
      <c r="G679" s="230"/>
      <c r="H679" s="204"/>
      <c r="I679" s="230"/>
      <c r="K679" s="13"/>
    </row>
    <row r="680" spans="1:11" ht="22.15" customHeight="1" x14ac:dyDescent="0.35">
      <c r="A680" s="196"/>
      <c r="B680" s="196"/>
      <c r="C680" s="196"/>
      <c r="D680" s="196"/>
      <c r="E680" s="196"/>
      <c r="F680" s="196"/>
      <c r="G680" s="230"/>
      <c r="H680" s="204"/>
      <c r="I680" s="230"/>
      <c r="K680" s="13"/>
    </row>
    <row r="681" spans="1:11" ht="22.15" customHeight="1" x14ac:dyDescent="0.35">
      <c r="A681" s="196"/>
      <c r="B681" s="196"/>
      <c r="C681" s="196"/>
      <c r="D681" s="196"/>
      <c r="E681" s="196"/>
      <c r="F681" s="196"/>
      <c r="G681" s="230"/>
      <c r="H681" s="204"/>
      <c r="I681" s="230"/>
      <c r="K681" s="13"/>
    </row>
    <row r="682" spans="1:11" s="16" customFormat="1" ht="12.75" x14ac:dyDescent="0.2">
      <c r="A682" s="173"/>
      <c r="B682" s="173"/>
      <c r="C682" s="173"/>
      <c r="D682" s="256"/>
    </row>
    <row r="683" spans="1:11" s="16" customFormat="1" ht="12.75" x14ac:dyDescent="0.2">
      <c r="A683" s="173"/>
      <c r="B683" s="173"/>
      <c r="C683" s="173"/>
      <c r="D683" s="256"/>
    </row>
    <row r="684" spans="1:11" s="16" customFormat="1" ht="12.75" x14ac:dyDescent="0.2">
      <c r="A684" s="281"/>
      <c r="B684" s="281"/>
      <c r="C684" s="281"/>
      <c r="D684" s="281"/>
    </row>
    <row r="685" spans="1:11" s="16" customFormat="1" ht="12.75" x14ac:dyDescent="0.2">
      <c r="A685" s="282"/>
      <c r="B685" s="282"/>
      <c r="C685" s="282"/>
      <c r="D685" s="282"/>
    </row>
    <row r="686" spans="1:11" s="16" customFormat="1" ht="12.75" x14ac:dyDescent="0.2"/>
    <row r="687" spans="1:11" s="16" customFormat="1" ht="12.75" x14ac:dyDescent="0.2">
      <c r="A687" s="173"/>
      <c r="B687" s="173"/>
      <c r="C687" s="173"/>
      <c r="D687" s="173"/>
    </row>
    <row r="688" spans="1:11" s="16" customFormat="1" ht="12.75" x14ac:dyDescent="0.2">
      <c r="A688" s="281"/>
      <c r="B688" s="281"/>
      <c r="C688" s="281"/>
      <c r="D688" s="281"/>
    </row>
    <row r="689" spans="1:11" s="16" customFormat="1" ht="12.75" x14ac:dyDescent="0.2">
      <c r="A689" s="173"/>
      <c r="B689" s="173"/>
      <c r="C689" s="173"/>
      <c r="D689" s="173"/>
    </row>
    <row r="690" spans="1:11" s="16" customFormat="1" ht="12.75" x14ac:dyDescent="0.2">
      <c r="A690" s="173"/>
      <c r="B690" s="173"/>
      <c r="C690" s="173"/>
      <c r="D690" s="173"/>
    </row>
    <row r="691" spans="1:11" s="16" customFormat="1" ht="12.75" x14ac:dyDescent="0.2">
      <c r="A691" s="173"/>
      <c r="B691" s="173"/>
      <c r="C691" s="173"/>
      <c r="D691" s="173"/>
    </row>
    <row r="692" spans="1:11" s="16" customFormat="1" ht="12.75" x14ac:dyDescent="0.2">
      <c r="A692" s="173"/>
      <c r="B692" s="173"/>
      <c r="C692" s="173"/>
      <c r="D692" s="173"/>
    </row>
    <row r="693" spans="1:11" s="16" customFormat="1" ht="12.75" x14ac:dyDescent="0.2">
      <c r="A693" s="257"/>
      <c r="B693" s="258"/>
      <c r="C693" s="257"/>
      <c r="D693" s="258"/>
    </row>
    <row r="694" spans="1:11" s="16" customFormat="1" ht="12.75" x14ac:dyDescent="0.2">
      <c r="A694" s="257"/>
      <c r="B694" s="259"/>
      <c r="C694" s="257"/>
      <c r="D694" s="258"/>
    </row>
    <row r="695" spans="1:11" s="16" customFormat="1" ht="12.75" x14ac:dyDescent="0.2">
      <c r="A695" s="260"/>
      <c r="B695" s="260"/>
    </row>
    <row r="696" spans="1:11" s="16" customFormat="1" ht="12.75" x14ac:dyDescent="0.2">
      <c r="A696" s="260"/>
    </row>
    <row r="697" spans="1:11" s="16" customFormat="1" ht="12.75" x14ac:dyDescent="0.2">
      <c r="A697" s="260"/>
    </row>
    <row r="698" spans="1:11" s="16" customFormat="1" ht="12.75" x14ac:dyDescent="0.2">
      <c r="A698" s="260"/>
    </row>
    <row r="699" spans="1:11" s="38" customFormat="1" ht="12.75" x14ac:dyDescent="0.2">
      <c r="A699" s="16"/>
      <c r="B699" s="16"/>
      <c r="C699" s="16"/>
      <c r="F699" s="16"/>
      <c r="G699" s="16"/>
      <c r="H699" s="16"/>
    </row>
    <row r="700" spans="1:11" s="261" customFormat="1" ht="12.75" x14ac:dyDescent="0.2"/>
    <row r="701" spans="1:11" ht="22.15" customHeight="1" x14ac:dyDescent="0.35">
      <c r="A701" s="196"/>
      <c r="B701" s="196"/>
      <c r="C701" s="196"/>
      <c r="D701" s="196"/>
      <c r="E701" s="196"/>
      <c r="F701" s="196"/>
      <c r="G701" s="230"/>
      <c r="H701" s="204"/>
      <c r="I701" s="230"/>
      <c r="K701" s="13"/>
    </row>
    <row r="702" spans="1:11" ht="22.15" customHeight="1" x14ac:dyDescent="0.35">
      <c r="A702" s="196"/>
      <c r="B702" s="196"/>
      <c r="C702" s="196"/>
      <c r="D702" s="196"/>
      <c r="E702" s="196"/>
      <c r="F702" s="196"/>
      <c r="G702" s="230"/>
      <c r="H702" s="204"/>
      <c r="I702" s="230"/>
      <c r="K702" s="13"/>
    </row>
    <row r="703" spans="1:11" ht="22.15" customHeight="1" x14ac:dyDescent="0.35">
      <c r="A703" s="196"/>
      <c r="B703" s="196"/>
      <c r="C703" s="196"/>
      <c r="D703" s="196"/>
      <c r="E703" s="196"/>
      <c r="F703" s="196"/>
      <c r="G703" s="230"/>
      <c r="H703" s="204"/>
      <c r="I703" s="230"/>
      <c r="K703" s="13"/>
    </row>
    <row r="704" spans="1:11" s="16" customFormat="1" ht="12.75" x14ac:dyDescent="0.2">
      <c r="A704" s="173"/>
      <c r="B704" s="173"/>
      <c r="C704" s="173"/>
      <c r="D704" s="256"/>
    </row>
    <row r="705" spans="1:4" s="16" customFormat="1" ht="12.75" x14ac:dyDescent="0.2">
      <c r="A705" s="173"/>
      <c r="B705" s="173"/>
      <c r="C705" s="173"/>
      <c r="D705" s="256"/>
    </row>
    <row r="706" spans="1:4" s="16" customFormat="1" ht="12.75" x14ac:dyDescent="0.2">
      <c r="A706" s="281"/>
      <c r="B706" s="281"/>
      <c r="C706" s="281"/>
      <c r="D706" s="281"/>
    </row>
    <row r="707" spans="1:4" s="16" customFormat="1" ht="12.75" x14ac:dyDescent="0.2">
      <c r="A707" s="282"/>
      <c r="B707" s="282"/>
      <c r="C707" s="282"/>
      <c r="D707" s="282"/>
    </row>
    <row r="708" spans="1:4" s="16" customFormat="1" ht="12.75" x14ac:dyDescent="0.2"/>
    <row r="709" spans="1:4" s="16" customFormat="1" ht="12.75" x14ac:dyDescent="0.2">
      <c r="A709" s="173"/>
      <c r="B709" s="173"/>
      <c r="C709" s="173"/>
      <c r="D709" s="173"/>
    </row>
    <row r="710" spans="1:4" s="16" customFormat="1" ht="12.75" x14ac:dyDescent="0.2">
      <c r="A710" s="281"/>
      <c r="B710" s="281"/>
      <c r="C710" s="281"/>
      <c r="D710" s="281"/>
    </row>
    <row r="711" spans="1:4" s="16" customFormat="1" ht="12.75" x14ac:dyDescent="0.2">
      <c r="A711" s="173"/>
      <c r="B711" s="173"/>
      <c r="C711" s="173"/>
      <c r="D711" s="173"/>
    </row>
    <row r="712" spans="1:4" s="16" customFormat="1" ht="12.75" x14ac:dyDescent="0.2">
      <c r="A712" s="173"/>
      <c r="B712" s="173"/>
      <c r="C712" s="173"/>
      <c r="D712" s="173"/>
    </row>
    <row r="713" spans="1:4" s="16" customFormat="1" ht="12.75" x14ac:dyDescent="0.2">
      <c r="A713" s="173"/>
      <c r="B713" s="173"/>
      <c r="C713" s="173"/>
      <c r="D713" s="173"/>
    </row>
    <row r="714" spans="1:4" s="16" customFormat="1" ht="12.75" x14ac:dyDescent="0.2">
      <c r="A714" s="173"/>
      <c r="B714" s="173"/>
      <c r="C714" s="173"/>
      <c r="D714" s="173"/>
    </row>
    <row r="715" spans="1:4" s="16" customFormat="1" ht="12.75" x14ac:dyDescent="0.2">
      <c r="A715" s="257"/>
      <c r="B715" s="258"/>
      <c r="C715" s="257"/>
      <c r="D715" s="258"/>
    </row>
    <row r="716" spans="1:4" s="16" customFormat="1" ht="12.75" x14ac:dyDescent="0.2">
      <c r="A716" s="257"/>
      <c r="B716" s="259"/>
      <c r="C716" s="257"/>
      <c r="D716" s="258"/>
    </row>
    <row r="717" spans="1:4" s="16" customFormat="1" ht="12.75" x14ac:dyDescent="0.2">
      <c r="A717" s="260"/>
      <c r="B717" s="260"/>
    </row>
    <row r="718" spans="1:4" s="16" customFormat="1" ht="12.75" x14ac:dyDescent="0.2">
      <c r="A718" s="260"/>
    </row>
    <row r="719" spans="1:4" s="16" customFormat="1" ht="12.75" x14ac:dyDescent="0.2">
      <c r="A719" s="260"/>
    </row>
    <row r="720" spans="1:4" s="16" customFormat="1" ht="12.75" x14ac:dyDescent="0.2">
      <c r="A720" s="260"/>
    </row>
    <row r="721" spans="1:11" s="38" customFormat="1" ht="12.75" x14ac:dyDescent="0.2">
      <c r="A721" s="16"/>
      <c r="B721" s="16"/>
      <c r="C721" s="16"/>
      <c r="F721" s="16"/>
      <c r="G721" s="16"/>
      <c r="H721" s="16"/>
    </row>
    <row r="722" spans="1:11" s="261" customFormat="1" ht="12.75" x14ac:dyDescent="0.2"/>
    <row r="723" spans="1:11" ht="22.15" customHeight="1" x14ac:dyDescent="0.35">
      <c r="A723" s="196"/>
      <c r="B723" s="196"/>
      <c r="C723" s="196"/>
      <c r="D723" s="196"/>
      <c r="E723" s="196"/>
      <c r="F723" s="196"/>
      <c r="G723" s="230"/>
      <c r="H723" s="204"/>
      <c r="I723" s="230"/>
      <c r="K723" s="13"/>
    </row>
    <row r="724" spans="1:11" ht="22.15" customHeight="1" x14ac:dyDescent="0.35">
      <c r="A724" s="196"/>
      <c r="B724" s="196"/>
      <c r="C724" s="196"/>
      <c r="D724" s="196"/>
      <c r="E724" s="196"/>
      <c r="F724" s="196"/>
      <c r="G724" s="230"/>
      <c r="H724" s="204"/>
      <c r="I724" s="230"/>
      <c r="K724" s="13"/>
    </row>
    <row r="725" spans="1:11" ht="22.15" customHeight="1" x14ac:dyDescent="0.35">
      <c r="A725" s="196"/>
      <c r="B725" s="196"/>
      <c r="C725" s="196"/>
      <c r="D725" s="196"/>
      <c r="E725" s="196"/>
      <c r="F725" s="196"/>
      <c r="G725" s="230"/>
      <c r="H725" s="204"/>
      <c r="I725" s="230"/>
      <c r="K725" s="13"/>
    </row>
    <row r="726" spans="1:11" s="16" customFormat="1" ht="12.75" x14ac:dyDescent="0.2">
      <c r="A726" s="173"/>
      <c r="B726" s="173"/>
      <c r="C726" s="173"/>
      <c r="D726" s="256"/>
    </row>
    <row r="727" spans="1:11" s="16" customFormat="1" ht="12.75" x14ac:dyDescent="0.2">
      <c r="A727" s="173"/>
      <c r="B727" s="173"/>
      <c r="C727" s="173"/>
      <c r="D727" s="256"/>
    </row>
    <row r="728" spans="1:11" s="16" customFormat="1" ht="12.75" x14ac:dyDescent="0.2">
      <c r="A728" s="281"/>
      <c r="B728" s="281"/>
      <c r="C728" s="281"/>
      <c r="D728" s="281"/>
    </row>
    <row r="729" spans="1:11" s="16" customFormat="1" ht="12.75" x14ac:dyDescent="0.2">
      <c r="A729" s="282"/>
      <c r="B729" s="282"/>
      <c r="C729" s="282"/>
      <c r="D729" s="282"/>
    </row>
    <row r="730" spans="1:11" s="16" customFormat="1" ht="12.75" x14ac:dyDescent="0.2"/>
    <row r="731" spans="1:11" s="16" customFormat="1" ht="12.75" x14ac:dyDescent="0.2">
      <c r="A731" s="173"/>
      <c r="B731" s="173"/>
      <c r="C731" s="173"/>
      <c r="D731" s="173"/>
    </row>
    <row r="732" spans="1:11" s="16" customFormat="1" ht="12.75" x14ac:dyDescent="0.2">
      <c r="A732" s="281"/>
      <c r="B732" s="281"/>
      <c r="C732" s="281"/>
      <c r="D732" s="281"/>
    </row>
    <row r="733" spans="1:11" s="16" customFormat="1" ht="12.75" x14ac:dyDescent="0.2">
      <c r="A733" s="173"/>
      <c r="B733" s="173"/>
      <c r="C733" s="173"/>
      <c r="D733" s="173"/>
    </row>
    <row r="734" spans="1:11" s="16" customFormat="1" ht="12.75" x14ac:dyDescent="0.2">
      <c r="A734" s="173"/>
      <c r="B734" s="173"/>
      <c r="C734" s="173"/>
      <c r="D734" s="173"/>
    </row>
    <row r="735" spans="1:11" s="16" customFormat="1" ht="12.75" x14ac:dyDescent="0.2">
      <c r="A735" s="173"/>
      <c r="B735" s="173"/>
      <c r="C735" s="173"/>
      <c r="D735" s="173"/>
    </row>
    <row r="736" spans="1:11" s="16" customFormat="1" ht="12.75" x14ac:dyDescent="0.2">
      <c r="A736" s="173"/>
      <c r="B736" s="173"/>
      <c r="C736" s="173"/>
      <c r="D736" s="173"/>
    </row>
    <row r="737" spans="1:11" s="16" customFormat="1" ht="12.75" x14ac:dyDescent="0.2">
      <c r="A737" s="257"/>
      <c r="B737" s="258"/>
      <c r="C737" s="257"/>
      <c r="D737" s="258"/>
    </row>
    <row r="738" spans="1:11" s="16" customFormat="1" ht="12.75" x14ac:dyDescent="0.2">
      <c r="A738" s="257"/>
      <c r="B738" s="259"/>
      <c r="C738" s="257"/>
      <c r="D738" s="258"/>
    </row>
    <row r="739" spans="1:11" s="16" customFormat="1" ht="12.75" x14ac:dyDescent="0.2">
      <c r="A739" s="260"/>
      <c r="B739" s="260"/>
    </row>
    <row r="740" spans="1:11" s="16" customFormat="1" ht="12.75" x14ac:dyDescent="0.2">
      <c r="A740" s="260"/>
    </row>
    <row r="741" spans="1:11" s="16" customFormat="1" ht="12.75" x14ac:dyDescent="0.2">
      <c r="A741" s="260"/>
    </row>
    <row r="742" spans="1:11" s="16" customFormat="1" ht="12.75" x14ac:dyDescent="0.2">
      <c r="A742" s="260"/>
    </row>
    <row r="743" spans="1:11" s="38" customFormat="1" ht="12.75" x14ac:dyDescent="0.2">
      <c r="A743" s="16"/>
      <c r="B743" s="16"/>
      <c r="C743" s="16"/>
      <c r="F743" s="16"/>
      <c r="G743" s="16"/>
      <c r="H743" s="16"/>
    </row>
    <row r="744" spans="1:11" s="261" customFormat="1" ht="12.75" x14ac:dyDescent="0.2"/>
    <row r="745" spans="1:11" ht="22.15" customHeight="1" x14ac:dyDescent="0.35">
      <c r="A745" s="196"/>
      <c r="B745" s="196"/>
      <c r="C745" s="196"/>
      <c r="D745" s="196"/>
      <c r="E745" s="196"/>
      <c r="F745" s="196"/>
      <c r="G745" s="230"/>
      <c r="H745" s="204"/>
      <c r="I745" s="230"/>
      <c r="K745" s="13"/>
    </row>
    <row r="746" spans="1:11" ht="22.15" customHeight="1" x14ac:dyDescent="0.35">
      <c r="A746" s="196"/>
      <c r="B746" s="196"/>
      <c r="C746" s="196"/>
      <c r="D746" s="196"/>
      <c r="E746" s="196"/>
      <c r="F746" s="196"/>
      <c r="G746" s="230"/>
      <c r="H746" s="204"/>
      <c r="I746" s="230"/>
      <c r="K746" s="13"/>
    </row>
    <row r="747" spans="1:11" ht="22.15" customHeight="1" x14ac:dyDescent="0.35">
      <c r="A747" s="196"/>
      <c r="B747" s="196"/>
      <c r="C747" s="196"/>
      <c r="D747" s="196"/>
      <c r="E747" s="196"/>
      <c r="F747" s="196"/>
      <c r="G747" s="230"/>
      <c r="H747" s="204"/>
      <c r="I747" s="230"/>
      <c r="K747" s="13"/>
    </row>
    <row r="748" spans="1:11" ht="22.15" customHeight="1" x14ac:dyDescent="0.35">
      <c r="A748" s="201"/>
      <c r="B748" s="201"/>
      <c r="C748" s="201"/>
      <c r="D748" s="201"/>
      <c r="E748" s="201"/>
      <c r="F748" s="201"/>
      <c r="G748" s="247"/>
      <c r="H748" s="205"/>
      <c r="I748" s="247"/>
    </row>
    <row r="749" spans="1:11" ht="22.15" customHeight="1" x14ac:dyDescent="0.35">
      <c r="A749" s="201"/>
      <c r="B749" s="201"/>
      <c r="C749" s="201"/>
      <c r="D749" s="201"/>
      <c r="E749" s="201"/>
      <c r="F749" s="201"/>
      <c r="G749" s="247"/>
      <c r="H749" s="205"/>
      <c r="I749" s="247"/>
    </row>
    <row r="750" spans="1:11" hidden="1" x14ac:dyDescent="0.35">
      <c r="A750" s="201"/>
      <c r="B750" s="201"/>
      <c r="C750" s="201"/>
      <c r="D750" s="201"/>
      <c r="E750" s="201"/>
      <c r="F750" s="201"/>
      <c r="G750" s="247"/>
      <c r="H750" s="205"/>
      <c r="I750" s="247"/>
    </row>
    <row r="751" spans="1:11" hidden="1" x14ac:dyDescent="0.35">
      <c r="A751" s="201"/>
      <c r="B751" s="201"/>
      <c r="C751" s="201"/>
      <c r="D751" s="201"/>
      <c r="E751" s="201"/>
      <c r="F751" s="201"/>
      <c r="G751" s="247"/>
      <c r="H751" s="205"/>
      <c r="I751" s="247"/>
    </row>
    <row r="752" spans="1:11" hidden="1" x14ac:dyDescent="0.35">
      <c r="A752" s="201"/>
      <c r="B752" s="201"/>
      <c r="C752" s="201"/>
      <c r="D752" s="201"/>
      <c r="E752" s="201"/>
      <c r="F752" s="201"/>
      <c r="G752" s="247"/>
      <c r="H752" s="205"/>
      <c r="I752" s="247"/>
    </row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  <row r="836" hidden="1" x14ac:dyDescent="0.35"/>
    <row r="837" hidden="1" x14ac:dyDescent="0.35"/>
    <row r="838" hidden="1" x14ac:dyDescent="0.35"/>
    <row r="839" hidden="1" x14ac:dyDescent="0.35"/>
    <row r="840" hidden="1" x14ac:dyDescent="0.35"/>
    <row r="841" hidden="1" x14ac:dyDescent="0.35"/>
    <row r="842" hidden="1" x14ac:dyDescent="0.35"/>
    <row r="843" hidden="1" x14ac:dyDescent="0.35"/>
    <row r="844" hidden="1" x14ac:dyDescent="0.35"/>
    <row r="845" hidden="1" x14ac:dyDescent="0.35"/>
    <row r="846" hidden="1" x14ac:dyDescent="0.35"/>
    <row r="847" hidden="1" x14ac:dyDescent="0.35"/>
    <row r="848" hidden="1" x14ac:dyDescent="0.35"/>
    <row r="849" hidden="1" x14ac:dyDescent="0.35"/>
    <row r="850" hidden="1" x14ac:dyDescent="0.35"/>
    <row r="851" hidden="1" x14ac:dyDescent="0.35"/>
    <row r="852" hidden="1" x14ac:dyDescent="0.35"/>
    <row r="853" hidden="1" x14ac:dyDescent="0.35"/>
    <row r="854" hidden="1" x14ac:dyDescent="0.35"/>
    <row r="855" hidden="1" x14ac:dyDescent="0.35"/>
    <row r="856" hidden="1" x14ac:dyDescent="0.35"/>
    <row r="857" hidden="1" x14ac:dyDescent="0.35"/>
    <row r="858" hidden="1" x14ac:dyDescent="0.35"/>
    <row r="859" hidden="1" x14ac:dyDescent="0.35"/>
    <row r="860" hidden="1" x14ac:dyDescent="0.35"/>
    <row r="861" hidden="1" x14ac:dyDescent="0.35"/>
    <row r="862" hidden="1" x14ac:dyDescent="0.35"/>
    <row r="863" hidden="1" x14ac:dyDescent="0.35"/>
  </sheetData>
  <mergeCells count="70">
    <mergeCell ref="A728:D728"/>
    <mergeCell ref="A729:D729"/>
    <mergeCell ref="A732:D732"/>
    <mergeCell ref="A685:D685"/>
    <mergeCell ref="A688:D688"/>
    <mergeCell ref="A706:D706"/>
    <mergeCell ref="A707:D707"/>
    <mergeCell ref="A710:D710"/>
    <mergeCell ref="A644:D644"/>
    <mergeCell ref="A662:D662"/>
    <mergeCell ref="A663:D663"/>
    <mergeCell ref="A666:D666"/>
    <mergeCell ref="A684:D684"/>
    <mergeCell ref="A618:D618"/>
    <mergeCell ref="A619:D619"/>
    <mergeCell ref="A622:D622"/>
    <mergeCell ref="A640:D640"/>
    <mergeCell ref="A641:D641"/>
    <mergeCell ref="D4:G4"/>
    <mergeCell ref="D3:G3"/>
    <mergeCell ref="A12:G12"/>
    <mergeCell ref="A14:G14"/>
    <mergeCell ref="D32:E32"/>
    <mergeCell ref="D30:E30"/>
    <mergeCell ref="D29:E29"/>
    <mergeCell ref="A30:C30"/>
    <mergeCell ref="D5:G5"/>
    <mergeCell ref="A19:I19"/>
    <mergeCell ref="A604:F604"/>
    <mergeCell ref="A592:F592"/>
    <mergeCell ref="A472:F472"/>
    <mergeCell ref="A511:F511"/>
    <mergeCell ref="A562:F562"/>
    <mergeCell ref="A524:F524"/>
    <mergeCell ref="A542:F542"/>
    <mergeCell ref="A553:F553"/>
    <mergeCell ref="A425:F425"/>
    <mergeCell ref="A440:F440"/>
    <mergeCell ref="A454:F454"/>
    <mergeCell ref="A398:F398"/>
    <mergeCell ref="A277:F277"/>
    <mergeCell ref="A296:F296"/>
    <mergeCell ref="A367:F367"/>
    <mergeCell ref="A412:F412"/>
    <mergeCell ref="A380:F380"/>
    <mergeCell ref="A376:I376"/>
    <mergeCell ref="A297:F297"/>
    <mergeCell ref="A298:F298"/>
    <mergeCell ref="E357:F357"/>
    <mergeCell ref="A303:F303"/>
    <mergeCell ref="A307:F307"/>
    <mergeCell ref="A304:F304"/>
    <mergeCell ref="A164:F164"/>
    <mergeCell ref="A143:F143"/>
    <mergeCell ref="A146:F146"/>
    <mergeCell ref="A153:F153"/>
    <mergeCell ref="A148:F148"/>
    <mergeCell ref="A161:I161"/>
    <mergeCell ref="A154:F154"/>
    <mergeCell ref="A356:F356"/>
    <mergeCell ref="A333:F333"/>
    <mergeCell ref="A347:F347"/>
    <mergeCell ref="A348:F348"/>
    <mergeCell ref="A354:F354"/>
    <mergeCell ref="A355:F355"/>
    <mergeCell ref="A311:F311"/>
    <mergeCell ref="A330:F330"/>
    <mergeCell ref="A313:F313"/>
    <mergeCell ref="A317:F317"/>
    <mergeCell ref="A320:F320"/>
  </mergeCells>
  <phoneticPr fontId="4" type="noConversion"/>
  <printOptions verticalCentered="1"/>
  <pageMargins left="0.70866141732283472" right="0.70866141732283472" top="0.74803149606299213" bottom="1.1811023622047245" header="0.31496062992125984" footer="1.1417322834645669"/>
  <pageSetup scale="50" fitToWidth="0" fitToHeight="0" orientation="portrait" r:id="rId1"/>
  <headerFooter alignWithMargins="0">
    <oddHeader xml:space="preserve">&amp;L&amp;P/&amp;N&amp;RNotas a los Estados Financieros Enero -Diciembre 2025 vs 2024        </oddHeader>
  </headerFooter>
  <rowBreaks count="13" manualBreakCount="13">
    <brk id="49" max="16383" man="1"/>
    <brk id="94" max="16383" man="1"/>
    <brk id="134" max="16383" man="1"/>
    <brk id="175" max="16383" man="1"/>
    <brk id="228" max="16383" man="1"/>
    <brk id="270" max="16383" man="1"/>
    <brk id="358" max="16383" man="1"/>
    <brk id="390" max="16383" man="1"/>
    <brk id="418" max="16383" man="1"/>
    <brk id="461" max="16383" man="1"/>
    <brk id="517" max="16383" man="1"/>
    <brk id="556" max="16383" man="1"/>
    <brk id="583" max="16383" man="1"/>
  </rowBreaks>
  <ignoredErrors>
    <ignoredError sqref="G248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299"/>
      <c r="C8" s="300"/>
      <c r="D8" s="309" t="s">
        <v>28</v>
      </c>
      <c r="E8" s="309" t="s">
        <v>29</v>
      </c>
      <c r="F8" s="309" t="s">
        <v>34</v>
      </c>
      <c r="G8" s="303" t="s">
        <v>30</v>
      </c>
    </row>
    <row r="9" spans="2:7" ht="25.5" customHeight="1" x14ac:dyDescent="0.2">
      <c r="B9" s="301"/>
      <c r="C9" s="302"/>
      <c r="D9" s="310"/>
      <c r="E9" s="310"/>
      <c r="F9" s="310"/>
      <c r="G9" s="304"/>
    </row>
    <row r="10" spans="2:7" x14ac:dyDescent="0.2">
      <c r="D10" s="1"/>
      <c r="E10" s="1"/>
      <c r="F10" s="1"/>
      <c r="G10" s="1"/>
    </row>
    <row r="11" spans="2:7" ht="12.4" hidden="1" customHeight="1" x14ac:dyDescent="0.2">
      <c r="B11" s="297" t="s">
        <v>35</v>
      </c>
      <c r="C11" s="297"/>
      <c r="D11" s="3"/>
      <c r="E11" s="3"/>
      <c r="F11" s="3"/>
      <c r="G11" s="3"/>
    </row>
    <row r="12" spans="2:7" ht="28.9" customHeight="1" x14ac:dyDescent="0.2">
      <c r="B12" s="297"/>
      <c r="C12" s="297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4.25" x14ac:dyDescent="0.2">
      <c r="B13" s="305" t="s">
        <v>31</v>
      </c>
      <c r="C13" s="306"/>
      <c r="D13" s="4">
        <v>0</v>
      </c>
      <c r="E13" s="4">
        <v>0</v>
      </c>
      <c r="F13" s="4">
        <v>0</v>
      </c>
      <c r="G13" s="4">
        <v>0</v>
      </c>
    </row>
    <row r="14" spans="2:7" ht="14.25" x14ac:dyDescent="0.2">
      <c r="B14" s="7" t="s">
        <v>32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15" hidden="1" customHeight="1" x14ac:dyDescent="0.2">
      <c r="B15" s="298" t="s">
        <v>36</v>
      </c>
      <c r="C15" s="298"/>
      <c r="D15" s="4"/>
      <c r="E15" s="4"/>
      <c r="F15" s="4"/>
      <c r="G15" s="4"/>
    </row>
    <row r="16" spans="2:7" ht="25.5" customHeight="1" x14ac:dyDescent="0.2">
      <c r="B16" s="298"/>
      <c r="C16" s="298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65" customHeight="1" x14ac:dyDescent="0.2">
      <c r="B17" s="297" t="s">
        <v>33</v>
      </c>
      <c r="C17" s="297"/>
      <c r="D17" s="307">
        <f>+D12+D16</f>
        <v>6237.3899999999994</v>
      </c>
      <c r="E17" s="307">
        <f>+E12+E16</f>
        <v>13906032.989999998</v>
      </c>
      <c r="F17" s="307">
        <f>+F12+F16</f>
        <v>4145072.8000000007</v>
      </c>
      <c r="G17" s="307">
        <f>+G12+G16</f>
        <v>18057343.180000007</v>
      </c>
    </row>
    <row r="18" spans="2:7" ht="21" customHeight="1" x14ac:dyDescent="0.2">
      <c r="B18" s="297"/>
      <c r="C18" s="297"/>
      <c r="D18" s="308"/>
      <c r="E18" s="308"/>
      <c r="F18" s="308"/>
      <c r="G18" s="308"/>
    </row>
    <row r="19" spans="2:7" ht="15" x14ac:dyDescent="0.25">
      <c r="B19" s="311"/>
      <c r="C19" s="312"/>
      <c r="D19" s="4"/>
      <c r="E19" s="4"/>
      <c r="F19" s="4"/>
      <c r="G19" s="6"/>
    </row>
    <row r="20" spans="2:7" ht="14.25" x14ac:dyDescent="0.2">
      <c r="B20" s="3" t="s">
        <v>37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">
      <c r="B21" s="298" t="s">
        <v>36</v>
      </c>
      <c r="C21" s="298"/>
      <c r="D21" s="313">
        <v>-27993.33</v>
      </c>
      <c r="E21" s="313">
        <f>-27118990.92</f>
        <v>-27118990.920000002</v>
      </c>
      <c r="F21" s="313">
        <v>-10395322.83</v>
      </c>
      <c r="G21" s="313">
        <f>+D21+E21+F21</f>
        <v>-37542307.079999998</v>
      </c>
    </row>
    <row r="22" spans="2:7" x14ac:dyDescent="0.2">
      <c r="B22" s="298"/>
      <c r="C22" s="298"/>
      <c r="D22" s="314"/>
      <c r="E22" s="314"/>
      <c r="F22" s="314"/>
      <c r="G22" s="314"/>
    </row>
    <row r="23" spans="2:7" x14ac:dyDescent="0.2">
      <c r="B23" s="297" t="s">
        <v>38</v>
      </c>
      <c r="C23" s="297"/>
      <c r="D23" s="315">
        <f>+D20+D21</f>
        <v>6130.6399999999994</v>
      </c>
      <c r="E23" s="315">
        <f>+E20+E21</f>
        <v>13649156.969999991</v>
      </c>
      <c r="F23" s="315">
        <f>+F20+F21</f>
        <v>3973196.76</v>
      </c>
      <c r="G23" s="315">
        <f>+G20+G21</f>
        <v>17628484.36999999</v>
      </c>
    </row>
    <row r="24" spans="2:7" ht="13.9" customHeight="1" x14ac:dyDescent="0.2">
      <c r="B24" s="297"/>
      <c r="C24" s="297"/>
      <c r="D24" s="316"/>
      <c r="E24" s="316"/>
      <c r="F24" s="316"/>
      <c r="G24" s="316"/>
    </row>
    <row r="25" spans="2:7" x14ac:dyDescent="0.2">
      <c r="D25" s="2"/>
      <c r="E25" s="2"/>
      <c r="F25" s="2"/>
      <c r="G25" s="2"/>
    </row>
    <row r="26" spans="2:7" x14ac:dyDescent="0.2">
      <c r="D26" s="2"/>
      <c r="E26" s="2"/>
      <c r="F26" s="2"/>
      <c r="G26" s="2"/>
    </row>
    <row r="27" spans="2:7" x14ac:dyDescent="0.2">
      <c r="D27" s="2"/>
      <c r="E27" s="2"/>
      <c r="F27" s="2"/>
      <c r="G27" s="2"/>
    </row>
    <row r="28" spans="2:7" x14ac:dyDescent="0.2">
      <c r="D28" s="2"/>
      <c r="E28" s="2"/>
      <c r="F28" s="2"/>
      <c r="G28" s="2"/>
    </row>
    <row r="29" spans="2:7" x14ac:dyDescent="0.2">
      <c r="D29" s="2"/>
      <c r="E29" s="2"/>
      <c r="F29" s="2"/>
      <c r="G29" s="2"/>
    </row>
    <row r="30" spans="2:7" x14ac:dyDescent="0.2">
      <c r="D30" s="2"/>
      <c r="E30" s="2"/>
      <c r="F30" s="2"/>
      <c r="G30" s="2"/>
    </row>
    <row r="31" spans="2:7" x14ac:dyDescent="0.2">
      <c r="D31" s="2"/>
      <c r="E31" s="2"/>
      <c r="F31" s="2"/>
      <c r="G31" s="2"/>
    </row>
    <row r="32" spans="2:7" x14ac:dyDescent="0.2">
      <c r="D32" s="2"/>
      <c r="E32" s="2"/>
      <c r="F32" s="2"/>
      <c r="G32" s="2"/>
    </row>
    <row r="33" spans="4:7" x14ac:dyDescent="0.2">
      <c r="D33" s="2"/>
      <c r="E33" s="2"/>
      <c r="F33" s="2"/>
      <c r="G33" s="2"/>
    </row>
    <row r="34" spans="4:7" x14ac:dyDescent="0.2">
      <c r="D34" s="2"/>
      <c r="E34" s="2"/>
      <c r="F34" s="2"/>
      <c r="G34" s="2"/>
    </row>
    <row r="35" spans="4:7" x14ac:dyDescent="0.2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 PRESUPUESTO 2025 </vt:lpstr>
      <vt:lpstr>REG. NO MONETARIOS</vt:lpstr>
      <vt:lpstr>NOTAS </vt:lpstr>
      <vt:lpstr>CUADRO DE ACTIVOS</vt:lpstr>
      <vt:lpstr>'BALANCE GENERAL'!Área_de_impresión</vt:lpstr>
      <vt:lpstr>'ESTADO COMP. PRESUPUESTO 2025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2026-01-20T15:46:24Z</cp:lastPrinted>
  <dcterms:created xsi:type="dcterms:W3CDTF">1996-11-27T10:00:04Z</dcterms:created>
  <dcterms:modified xsi:type="dcterms:W3CDTF">2026-01-23T15:28:15Z</dcterms:modified>
</cp:coreProperties>
</file>