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DIGECOG CIERRE FISCAL 2018-2025\2026\SICSANOC-ENERO-JUNIO 2026\"/>
    </mc:Choice>
  </mc:AlternateContent>
  <xr:revisionPtr revIDLastSave="0" documentId="8_{F5F1FAAD-659A-4ED1-9223-DBEB09FD793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ALANCE GENERAL" sheetId="16" r:id="rId1"/>
    <sheet name="ESTADO DE RESULTADOS" sheetId="5" r:id="rId2"/>
    <sheet name="FLUJO DE EFECTIVO ACTUAL" sheetId="15" r:id="rId3"/>
    <sheet name="CAMBIO PATRIM." sheetId="7" r:id="rId4"/>
    <sheet name="ESTADO COMP.PRESUPUESTO " sheetId="14" r:id="rId5"/>
    <sheet name="NOTAS " sheetId="10" r:id="rId6"/>
    <sheet name="REG. NO MONETARIOS" sheetId="17" r:id="rId7"/>
    <sheet name="CUADRO DE ACTIVOS" sheetId="13" state="hidden" r:id="rId8"/>
  </sheets>
  <definedNames>
    <definedName name="_Toc208202775" localSheetId="5">'NOTAS '!#REF!</definedName>
    <definedName name="_Toc243798066" localSheetId="5">'NOTAS '!#REF!</definedName>
    <definedName name="_Toc243798067" localSheetId="5">'NOTAS '!#REF!</definedName>
    <definedName name="_Toc243798068" localSheetId="5">'NOTAS '!#REF!</definedName>
    <definedName name="_Toc243798069" localSheetId="5">'NOTAS '!#REF!</definedName>
    <definedName name="_Toc243798070" localSheetId="5">'NOTAS '!#REF!</definedName>
    <definedName name="_Toc243798071" localSheetId="5">'NOTAS '!#REF!</definedName>
    <definedName name="_xlnm.Print_Area" localSheetId="0">'BALANCE GENERAL'!$A$1:$E$61</definedName>
    <definedName name="_xlnm.Print_Area" localSheetId="4">'ESTADO COMP.PRESUPUESTO '!$A$1:$G$58</definedName>
    <definedName name="_xlnm.Print_Area" localSheetId="2">'FLUJO DE EFECTIVO ACTUAL'!$A$1:$D$71</definedName>
    <definedName name="_xlnm.Print_Area" localSheetId="5">'NOTAS '!$A$1:$H$621</definedName>
    <definedName name="_xlnm.Print_Titles" localSheetId="5">'NOTAS '!$1:$4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4" l="1"/>
  <c r="E44" i="14"/>
  <c r="E43" i="14"/>
  <c r="D50" i="14"/>
  <c r="E18" i="14"/>
  <c r="E17" i="14"/>
  <c r="E16" i="14"/>
  <c r="E15" i="14"/>
  <c r="D40" i="14"/>
  <c r="E11" i="14"/>
  <c r="F430" i="10"/>
  <c r="F348" i="10"/>
  <c r="F244" i="10"/>
  <c r="D241" i="10"/>
  <c r="H599" i="10"/>
  <c r="F599" i="10"/>
  <c r="D11" i="14"/>
  <c r="D10" i="14"/>
  <c r="D12" i="14"/>
  <c r="D8" i="14" s="1"/>
  <c r="T479" i="10"/>
  <c r="E10" i="14"/>
  <c r="F321" i="10"/>
  <c r="T463" i="10"/>
  <c r="B41" i="16"/>
  <c r="F555" i="10"/>
  <c r="F377" i="10"/>
  <c r="H363" i="10"/>
  <c r="F363" i="10"/>
  <c r="F528" i="10"/>
  <c r="F464" i="10"/>
  <c r="F590" i="10"/>
  <c r="F556" i="10"/>
  <c r="F557" i="10"/>
  <c r="F522" i="10"/>
  <c r="F518" i="10"/>
  <c r="F481" i="10"/>
  <c r="F468" i="10"/>
  <c r="F418" i="10"/>
  <c r="F186" i="10"/>
  <c r="F157" i="10"/>
  <c r="F154" i="10"/>
  <c r="E243" i="10"/>
  <c r="D243" i="10"/>
  <c r="F258" i="10"/>
  <c r="F240" i="10"/>
  <c r="E236" i="10"/>
  <c r="D236" i="10"/>
  <c r="F234" i="10"/>
  <c r="F235" i="10"/>
  <c r="F233" i="10"/>
  <c r="H563" i="10"/>
  <c r="H557" i="10"/>
  <c r="H556" i="10"/>
  <c r="H522" i="10"/>
  <c r="H481" i="10"/>
  <c r="H430" i="10"/>
  <c r="H417" i="10"/>
  <c r="H418" i="10" s="1"/>
  <c r="H348" i="10"/>
  <c r="H349" i="10" s="1"/>
  <c r="H281" i="10"/>
  <c r="E252" i="10"/>
  <c r="F251" i="10"/>
  <c r="F250" i="10"/>
  <c r="D249" i="10"/>
  <c r="D257" i="10"/>
  <c r="F257" i="10" s="1"/>
  <c r="E256" i="10"/>
  <c r="E259" i="10" s="1"/>
  <c r="D256" i="10"/>
  <c r="H270" i="10"/>
  <c r="H200" i="10"/>
  <c r="H186" i="10"/>
  <c r="H187" i="10" s="1"/>
  <c r="H174" i="10"/>
  <c r="H157" i="10"/>
  <c r="H156" i="10"/>
  <c r="H154" i="10"/>
  <c r="F390" i="10"/>
  <c r="F403" i="10"/>
  <c r="S463" i="10"/>
  <c r="S461" i="10"/>
  <c r="D18" i="15" s="1"/>
  <c r="H159" i="10" l="1"/>
  <c r="H161" i="10" s="1"/>
  <c r="F236" i="10"/>
  <c r="E260" i="10"/>
  <c r="H482" i="10"/>
  <c r="D17" i="15" s="1"/>
  <c r="Q468" i="10"/>
  <c r="D19" i="5" s="1"/>
  <c r="E244" i="10"/>
  <c r="D259" i="10"/>
  <c r="F259" i="10" s="1"/>
  <c r="F256" i="10"/>
  <c r="F241" i="10"/>
  <c r="F243" i="10" s="1"/>
  <c r="D244" i="10"/>
  <c r="D252" i="10"/>
  <c r="F249" i="10"/>
  <c r="F252" i="10" s="1"/>
  <c r="B42" i="16"/>
  <c r="F349" i="10"/>
  <c r="U271" i="10" l="1"/>
  <c r="D260" i="10"/>
  <c r="F260" i="10" s="1"/>
  <c r="F482" i="10" l="1"/>
  <c r="B17" i="15" s="1"/>
  <c r="Q471" i="10"/>
  <c r="B19" i="5" s="1"/>
  <c r="F7" i="17"/>
  <c r="C7" i="17"/>
  <c r="Q463" i="10"/>
  <c r="Q462" i="10"/>
  <c r="Q461" i="10"/>
  <c r="H529" i="10"/>
  <c r="H540" i="10"/>
  <c r="H590" i="10"/>
  <c r="H579" i="10"/>
  <c r="D20" i="15" s="1"/>
  <c r="H403" i="10"/>
  <c r="H390" i="10"/>
  <c r="H143" i="10"/>
  <c r="D34" i="15"/>
  <c r="H377" i="10"/>
  <c r="K593" i="10"/>
  <c r="K447" i="10"/>
  <c r="H567" i="10" l="1"/>
  <c r="D21" i="16"/>
  <c r="Q464" i="10"/>
  <c r="D27" i="5"/>
  <c r="B18" i="15" l="1"/>
  <c r="F567" i="10" l="1"/>
  <c r="B19" i="15" s="1"/>
  <c r="F529" i="10" l="1"/>
  <c r="D21" i="5"/>
  <c r="B21" i="5" l="1"/>
  <c r="H504" i="10"/>
  <c r="U590" i="10" s="1"/>
  <c r="U592" i="10" s="1"/>
  <c r="H445" i="10"/>
  <c r="H431" i="10"/>
  <c r="F143" i="10"/>
  <c r="B13" i="16" s="1"/>
  <c r="D13" i="16"/>
  <c r="U447" i="10" l="1"/>
  <c r="L593" i="10"/>
  <c r="D20" i="5"/>
  <c r="L447" i="10"/>
  <c r="F159" i="10"/>
  <c r="D22" i="16" l="1"/>
  <c r="D14" i="16" l="1"/>
  <c r="K19" i="7" l="1"/>
  <c r="M19" i="7" s="1"/>
  <c r="E24" i="7"/>
  <c r="K23" i="7"/>
  <c r="C19" i="17"/>
  <c r="D21" i="17" s="1"/>
  <c r="F9" i="17"/>
  <c r="G11" i="17" s="1"/>
  <c r="C9" i="17"/>
  <c r="D11" i="17" s="1"/>
  <c r="B25" i="15"/>
  <c r="C15" i="17"/>
  <c r="D16" i="17" s="1"/>
  <c r="F15" i="17"/>
  <c r="G16" i="17" s="1"/>
  <c r="B27" i="5" l="1"/>
  <c r="C23" i="17"/>
  <c r="K24" i="7"/>
  <c r="A7" i="5"/>
  <c r="A9" i="15" s="1"/>
  <c r="D27" i="15" l="1"/>
  <c r="D16" i="16" l="1"/>
  <c r="F187" i="10"/>
  <c r="B27" i="15" l="1"/>
  <c r="D23" i="17" l="1"/>
  <c r="F19" i="17"/>
  <c r="F174" i="10"/>
  <c r="F200" i="10"/>
  <c r="F270" i="10"/>
  <c r="T271" i="10" s="1"/>
  <c r="F281" i="10"/>
  <c r="F431" i="10"/>
  <c r="F445" i="10"/>
  <c r="F504" i="10"/>
  <c r="F540" i="10"/>
  <c r="F579" i="10"/>
  <c r="D12" i="17"/>
  <c r="C12" i="17"/>
  <c r="G12" i="17"/>
  <c r="F12" i="17"/>
  <c r="A5" i="5"/>
  <c r="A7" i="15" s="1"/>
  <c r="T447" i="10" l="1"/>
  <c r="T590" i="10"/>
  <c r="T592" i="10" s="1"/>
  <c r="Q250" i="10"/>
  <c r="B20" i="5"/>
  <c r="J593" i="10"/>
  <c r="J447" i="10"/>
  <c r="B24" i="5"/>
  <c r="B20" i="15"/>
  <c r="G21" i="17"/>
  <c r="F161" i="10"/>
  <c r="B21" i="16" l="1"/>
  <c r="F23" i="17"/>
  <c r="G23" i="17"/>
  <c r="D42" i="16" l="1"/>
  <c r="K11" i="7" s="1"/>
  <c r="M11" i="7" l="1"/>
  <c r="D29" i="16"/>
  <c r="D35" i="16" l="1"/>
  <c r="D20" i="16"/>
  <c r="D23" i="16" l="1"/>
  <c r="D15" i="16"/>
  <c r="D17" i="16" s="1"/>
  <c r="D24" i="16" l="1"/>
  <c r="D15" i="15"/>
  <c r="D16" i="15" l="1"/>
  <c r="D24" i="5"/>
  <c r="D23" i="5"/>
  <c r="D22" i="5"/>
  <c r="D15" i="5"/>
  <c r="D14" i="5"/>
  <c r="D41" i="16"/>
  <c r="K15" i="7" s="1"/>
  <c r="K16" i="7" s="1"/>
  <c r="D40" i="16"/>
  <c r="D34" i="16"/>
  <c r="D30" i="16"/>
  <c r="D28" i="16"/>
  <c r="D22" i="15" l="1"/>
  <c r="D36" i="15" s="1"/>
  <c r="D25" i="5"/>
  <c r="D36" i="16"/>
  <c r="D31" i="16"/>
  <c r="D43" i="16"/>
  <c r="D16" i="5"/>
  <c r="D38" i="15" l="1"/>
  <c r="D31" i="5"/>
  <c r="D37" i="16"/>
  <c r="D45" i="16" s="1"/>
  <c r="C40" i="16" l="1"/>
  <c r="B40" i="16"/>
  <c r="B43" i="16" l="1"/>
  <c r="B20" i="16" l="1"/>
  <c r="F20" i="16" l="1"/>
  <c r="J20" i="16"/>
  <c r="G18" i="14"/>
  <c r="G22" i="14"/>
  <c r="B30" i="15" l="1"/>
  <c r="B22" i="5"/>
  <c r="G19" i="14" s="1"/>
  <c r="D14" i="14"/>
  <c r="B15" i="5" l="1"/>
  <c r="B30" i="16"/>
  <c r="B28" i="16"/>
  <c r="B34" i="16"/>
  <c r="F34" i="16" l="1"/>
  <c r="J34" i="16"/>
  <c r="F35" i="16"/>
  <c r="B16" i="15"/>
  <c r="B29" i="16"/>
  <c r="B31" i="16" s="1"/>
  <c r="J36" i="16" l="1"/>
  <c r="B32" i="15"/>
  <c r="B14" i="16"/>
  <c r="B34" i="15" l="1"/>
  <c r="G9" i="14"/>
  <c r="F19" i="14" l="1"/>
  <c r="F18" i="14"/>
  <c r="D23" i="14"/>
  <c r="M22" i="7" l="1"/>
  <c r="M21" i="7"/>
  <c r="M20" i="7"/>
  <c r="I16" i="7"/>
  <c r="I24" i="7" s="1"/>
  <c r="G16" i="7"/>
  <c r="G24" i="7" s="1"/>
  <c r="M14" i="7"/>
  <c r="M13" i="7"/>
  <c r="M12" i="7"/>
  <c r="E16" i="7" l="1"/>
  <c r="B15" i="15" l="1"/>
  <c r="B35" i="16"/>
  <c r="B22" i="16"/>
  <c r="B23" i="16" s="1"/>
  <c r="B36" i="16" l="1"/>
  <c r="B37" i="16" s="1"/>
  <c r="G17" i="14"/>
  <c r="F17" i="14"/>
  <c r="B14" i="5"/>
  <c r="B45" i="16" l="1"/>
  <c r="G21" i="14"/>
  <c r="G10" i="14"/>
  <c r="F10" i="14"/>
  <c r="B16" i="5"/>
  <c r="G15" i="14" l="1"/>
  <c r="F15" i="14"/>
  <c r="G21" i="13"/>
  <c r="E20" i="13"/>
  <c r="E21" i="13"/>
  <c r="F11" i="14" l="1"/>
  <c r="E8" i="14"/>
  <c r="D39" i="14" s="1"/>
  <c r="D41" i="14" s="1"/>
  <c r="G11" i="14"/>
  <c r="G8" i="14" l="1"/>
  <c r="F8" i="14"/>
  <c r="E23" i="13"/>
  <c r="F23" i="13"/>
  <c r="D20" i="13"/>
  <c r="G20" i="13" s="1"/>
  <c r="E17" i="13"/>
  <c r="F17" i="13"/>
  <c r="D17" i="13"/>
  <c r="G16" i="13"/>
  <c r="G12" i="13"/>
  <c r="D23" i="13" l="1"/>
  <c r="G23" i="13"/>
  <c r="G17" i="13"/>
  <c r="B16" i="16" l="1"/>
  <c r="B15" i="16" l="1"/>
  <c r="B17" i="16" s="1"/>
  <c r="B24" i="16" s="1"/>
  <c r="M15" i="7" l="1"/>
  <c r="M16" i="7" s="1"/>
  <c r="B23" i="5" l="1"/>
  <c r="B25" i="5" l="1"/>
  <c r="B31" i="5" s="1"/>
  <c r="E14" i="14"/>
  <c r="G16" i="14" l="1"/>
  <c r="F16" i="14"/>
  <c r="M23" i="7" l="1"/>
  <c r="M24" i="7" s="1"/>
  <c r="E23" i="14"/>
  <c r="G14" i="14"/>
  <c r="G23" i="14" s="1"/>
  <c r="F14" i="14"/>
  <c r="F23" i="14" s="1"/>
  <c r="B22" i="15"/>
  <c r="B36" i="15" s="1"/>
  <c r="B38" i="15" s="1"/>
</calcChain>
</file>

<file path=xl/sharedStrings.xml><?xml version="1.0" encoding="utf-8"?>
<sst xmlns="http://schemas.openxmlformats.org/spreadsheetml/2006/main" count="607" uniqueCount="524">
  <si>
    <t>DESCRIPCIÓN</t>
  </si>
  <si>
    <t>Total Disponible en Caja y Bancos</t>
  </si>
  <si>
    <t xml:space="preserve">DESCRIPCION </t>
  </si>
  <si>
    <t xml:space="preserve">               </t>
  </si>
  <si>
    <t>DESCRIPCION</t>
  </si>
  <si>
    <t xml:space="preserve"> </t>
  </si>
  <si>
    <t>( VALORES EN RD$)</t>
  </si>
  <si>
    <t>Fondos reponibles (Cajas Chicas) y (Fondo de devoluciones)</t>
  </si>
  <si>
    <t xml:space="preserve">Sub. Cuenta 0100-115001- (CUT)                                                                                                                                                           </t>
  </si>
  <si>
    <t>Operadoras (Cuotas Parques Z. Francas)</t>
  </si>
  <si>
    <t>Empresas de Z. Francas especiales (cuotas)</t>
  </si>
  <si>
    <t>Otros Servicios de cuotas por cobrar</t>
  </si>
  <si>
    <t>Otras cuentas por cobrar (varias)</t>
  </si>
  <si>
    <t xml:space="preserve">Nota 9. </t>
  </si>
  <si>
    <t>Inventarios:</t>
  </si>
  <si>
    <t>Materiales y Suministros de Oficinas</t>
  </si>
  <si>
    <t>Nota 10.</t>
  </si>
  <si>
    <t>Pagos anticipados:</t>
  </si>
  <si>
    <t xml:space="preserve">Nota 8. </t>
  </si>
  <si>
    <t>Cuentas por cobrar a corto plazo:</t>
  </si>
  <si>
    <t>Nota 7 :</t>
  </si>
  <si>
    <t xml:space="preserve"> Efectivo Equivalente de efectivo:</t>
  </si>
  <si>
    <t>Nota 11.</t>
  </si>
  <si>
    <t>Cuentas por cobrar a largo plazo:</t>
  </si>
  <si>
    <t>Total cuentas por cobrar a largo plazo</t>
  </si>
  <si>
    <t>Nota 12.</t>
  </si>
  <si>
    <t>Seguros de incendios</t>
  </si>
  <si>
    <t>Seguros de Vehículos</t>
  </si>
  <si>
    <t>Propiedad, planta y equipo neto:</t>
  </si>
  <si>
    <t>Maquinarias y Equipos</t>
  </si>
  <si>
    <t>Mobiliarios y equipos de oficinas</t>
  </si>
  <si>
    <t>Total</t>
  </si>
  <si>
    <t>Adicionales</t>
  </si>
  <si>
    <t>Retiros</t>
  </si>
  <si>
    <t>Saldo al final del periodo Noviembre 2019</t>
  </si>
  <si>
    <t>Equipos de transportes y otros</t>
  </si>
  <si>
    <t>Costo de adquisicion inicio octubre 2019</t>
  </si>
  <si>
    <t>Depreciacion  Acumulada</t>
  </si>
  <si>
    <t>Al inicio del periodo</t>
  </si>
  <si>
    <t>Saldo al final del periodo Diciembre 2019</t>
  </si>
  <si>
    <t>Nota 13.</t>
  </si>
  <si>
    <t>Nota 14.</t>
  </si>
  <si>
    <t>Activos Intangibles:</t>
  </si>
  <si>
    <t>Paquetes y programas de computacion</t>
  </si>
  <si>
    <t>Nota 15.</t>
  </si>
  <si>
    <t>Cuentas por pagar a corto plazo:</t>
  </si>
  <si>
    <t>Otras cuentas por pagar</t>
  </si>
  <si>
    <t>Total activos intangibles</t>
  </si>
  <si>
    <t>Retenciones y acumulaciones por pagar:</t>
  </si>
  <si>
    <t>Retencion ITBIS Suplidores</t>
  </si>
  <si>
    <t>Retencion RNC</t>
  </si>
  <si>
    <t>Total retenciones y acumulaciones</t>
  </si>
  <si>
    <t>Provision Bono de Desempeño</t>
  </si>
  <si>
    <t>Provision Gratificacion x Aniversario de la institucion</t>
  </si>
  <si>
    <t>Total provisiones a corto plazo</t>
  </si>
  <si>
    <t>Nota 19.    Provisiones a largo plazo:</t>
  </si>
  <si>
    <t>Nota 20.    Provisiones a largo plazo:</t>
  </si>
  <si>
    <t>Activos Netos/Patrimonio:</t>
  </si>
  <si>
    <t>Capital</t>
  </si>
  <si>
    <t>Resultados positivos (ahorro) negativo (desahorro)</t>
  </si>
  <si>
    <t>Resultados acumulados</t>
  </si>
  <si>
    <t>Total Activos netos/patrimonio</t>
  </si>
  <si>
    <t>Ingresos por ventas de servicios</t>
  </si>
  <si>
    <t xml:space="preserve"> Transferencias y donaciones:</t>
  </si>
  <si>
    <t>Total Transferencias y donaciones</t>
  </si>
  <si>
    <t>Sueldos</t>
  </si>
  <si>
    <t>Remuneraciones al personal con caracter transitorio</t>
  </si>
  <si>
    <t>Prima por antiguedad</t>
  </si>
  <si>
    <t>Horas Extras</t>
  </si>
  <si>
    <t>Prima Transporte</t>
  </si>
  <si>
    <t>Compensacion Servicios de seguridad</t>
  </si>
  <si>
    <t>Gastos de representacion</t>
  </si>
  <si>
    <t>Sueldo anual 13</t>
  </si>
  <si>
    <t>Bonificaciones salario 14</t>
  </si>
  <si>
    <t>Gratificaciones por aniversario de la institucion</t>
  </si>
  <si>
    <t>Prestaciones economicas</t>
  </si>
  <si>
    <t>Bono x Evaluacion de desempeño</t>
  </si>
  <si>
    <t>Total sueldos, salarios y beneficios a empleados</t>
  </si>
  <si>
    <t>El Consejo Nacional de Zonas Francas de Exportacion, pagó sueldos al personal directivo, los cuales se definen como</t>
  </si>
  <si>
    <t>Transfencias a instituciones sin fines de lucro</t>
  </si>
  <si>
    <t xml:space="preserve">Nota 24.   </t>
  </si>
  <si>
    <t xml:space="preserve">Nota 25.   </t>
  </si>
  <si>
    <t>Servicios de comunicaciones</t>
  </si>
  <si>
    <t>Servicios Basicos</t>
  </si>
  <si>
    <t>Transporte y Almacenaje</t>
  </si>
  <si>
    <t>Seguros de Personas</t>
  </si>
  <si>
    <t>Eventos Generales,  Festividades y actuaciones artisticas</t>
  </si>
  <si>
    <t xml:space="preserve">Nota 26.   </t>
  </si>
  <si>
    <t>Suministros y materiales para consumo:</t>
  </si>
  <si>
    <t>Productos de papel, carton e impresos</t>
  </si>
  <si>
    <t>Combustibles y lubricantes, productos quimicos y conexos.-</t>
  </si>
  <si>
    <t xml:space="preserve">Nota 27.   </t>
  </si>
  <si>
    <t>Gastos de depreciacion y amortizacion:</t>
  </si>
  <si>
    <t>Total gastos de depreciacion y amortizacion</t>
  </si>
  <si>
    <t xml:space="preserve">Nota 28.   </t>
  </si>
  <si>
    <t>Gastos Financieros:</t>
  </si>
  <si>
    <t>Total gastos financieros</t>
  </si>
  <si>
    <t>Alquileres</t>
  </si>
  <si>
    <t>Estado de Rendimiento Financiero</t>
  </si>
  <si>
    <t>Ingresos</t>
  </si>
  <si>
    <t>Total ingresos</t>
  </si>
  <si>
    <t xml:space="preserve">         Sueldos, salarios y beneficios a empleados</t>
  </si>
  <si>
    <t xml:space="preserve">         Gastos de depreciacion y amortizacion</t>
  </si>
  <si>
    <t xml:space="preserve">         Otros gastos</t>
  </si>
  <si>
    <t xml:space="preserve">         Suministros y Materiales para consumo</t>
  </si>
  <si>
    <t xml:space="preserve">         Gastos financieros</t>
  </si>
  <si>
    <t>Total gastos</t>
  </si>
  <si>
    <t xml:space="preserve">         Participacion en resultado de asociados</t>
  </si>
  <si>
    <t>Resultados positivos (ahorro0/negativo (desahorro)</t>
  </si>
  <si>
    <t>Cobros de subvenciones, transferencias, y otras asignaciones</t>
  </si>
  <si>
    <t>Pagos a los trabajadores en beneficio de ellos</t>
  </si>
  <si>
    <t>Pagos por contribuciones a la seguridad social</t>
  </si>
  <si>
    <t>Pagos a proveedores</t>
  </si>
  <si>
    <t>Otros pagos.</t>
  </si>
  <si>
    <t>Flujos de efectivo netos por las actividades de financiacion</t>
  </si>
  <si>
    <t>Incremento (disminución) neto en el efectivo y equivalentes al efectivo.</t>
  </si>
  <si>
    <t>Efectivo y  equivalente  de efectivo al inicio del periodo.</t>
  </si>
  <si>
    <t>Estado de Cambio de Activo / Patrimonio</t>
  </si>
  <si>
    <t>(Valores en RD$)</t>
  </si>
  <si>
    <t>Capital Aportado</t>
  </si>
  <si>
    <t>Cambios en Políticas Contables</t>
  </si>
  <si>
    <t>Revaluación</t>
  </si>
  <si>
    <t>Resultados Acumulados</t>
  </si>
  <si>
    <t>Total Activos Netos / Patrimonio</t>
  </si>
  <si>
    <t>Cambio en políticas contables</t>
  </si>
  <si>
    <t>Revaluación de Propiedad, planta y equipo</t>
  </si>
  <si>
    <t xml:space="preserve">Ajuste al patrimonio </t>
  </si>
  <si>
    <t>Resultado del período</t>
  </si>
  <si>
    <t>Efecto del gasto de depreciación de los activos revaluados</t>
  </si>
  <si>
    <t xml:space="preserve">Estado de Comparación de los Importes Presupuestados y Realizados </t>
  </si>
  <si>
    <t>Presupuesto sobre la Base de Efectivo</t>
  </si>
  <si>
    <t>(Clasificación de Ingresos y Gastos por Objeto)</t>
  </si>
  <si>
    <t>Concepto</t>
  </si>
  <si>
    <t>Presupuesto Reformado (A)</t>
  </si>
  <si>
    <t>Presupuesto Ejecutado (B)</t>
  </si>
  <si>
    <t>% de Variac Ejecución (C=B/A)</t>
  </si>
  <si>
    <t>Variación (D=A-B)</t>
  </si>
  <si>
    <t>Ingresos totales</t>
  </si>
  <si>
    <t>Donaciones</t>
  </si>
  <si>
    <t>Transferencias</t>
  </si>
  <si>
    <t>Ingresos por contraprestación</t>
  </si>
  <si>
    <t>Gastos totales</t>
  </si>
  <si>
    <t>Remuneraciones y contribuciones</t>
  </si>
  <si>
    <t>Contratación de servicios</t>
  </si>
  <si>
    <t>Materiales y suministros</t>
  </si>
  <si>
    <t>Transferencias corrientes</t>
  </si>
  <si>
    <t>Bienes muebles, inmuebles e intangibles</t>
  </si>
  <si>
    <r>
      <rPr>
        <b/>
        <sz val="10"/>
        <color rgb="FF231F20"/>
        <rFont val="Times New Roman"/>
        <family val="1"/>
      </rPr>
      <t>Resultado financiero (1-2)</t>
    </r>
  </si>
  <si>
    <t>Reservas para cuentas incobrables</t>
  </si>
  <si>
    <t>Total Inventarios</t>
  </si>
  <si>
    <t>Total cuentas por pagar a corto plazo</t>
  </si>
  <si>
    <t>Total provisiones  a largo plazo</t>
  </si>
  <si>
    <t>Vacaciones</t>
  </si>
  <si>
    <t>Total Materiales y Suministros</t>
  </si>
  <si>
    <t>Perdidas en Operaciones Cambiarias</t>
  </si>
  <si>
    <t>es como sigue:</t>
  </si>
  <si>
    <r>
      <t xml:space="preserve">aquellos que ocupan la posicion de directores por aproximadamente </t>
    </r>
    <r>
      <rPr>
        <b/>
        <sz val="16"/>
        <rFont val="Calibri"/>
        <family val="2"/>
        <scheme val="minor"/>
      </rPr>
      <t>RD$ 327,800 y RD$ 239,580</t>
    </r>
    <r>
      <rPr>
        <sz val="16"/>
        <rFont val="Calibri"/>
        <family val="2"/>
        <scheme val="minor"/>
      </rPr>
      <t>, respectivamente.</t>
    </r>
  </si>
  <si>
    <t>Servicios judicales y Especiales</t>
  </si>
  <si>
    <t xml:space="preserve">Serv.Tecnicos Profesional </t>
  </si>
  <si>
    <t>Sub -Total</t>
  </si>
  <si>
    <t>Total Cuentas por Cobrar a Corto plazo</t>
  </si>
  <si>
    <t>Disminución de pasivos</t>
  </si>
  <si>
    <t>Viaticos dentro y fuera del pais.</t>
  </si>
  <si>
    <t>Retención impuestos sobre la renta 5ta categoría</t>
  </si>
  <si>
    <t>Pagos por adquisicion de propiedad, planta y equipo</t>
  </si>
  <si>
    <t>Otros pagos</t>
  </si>
  <si>
    <t>Flujos de efectivo netos por las actividades de inversion</t>
  </si>
  <si>
    <t>Flujos de efectivo de las acividades de inversion (AINV)</t>
  </si>
  <si>
    <t>Flujos de efectivo netos de las actividades de operación</t>
  </si>
  <si>
    <t>Flujos de efectivo netos por las actividades de financiación</t>
  </si>
  <si>
    <t>Efectivo y equivalentes al efectivo al final del ejercicio</t>
  </si>
  <si>
    <t>Beca/viajes de estudios</t>
  </si>
  <si>
    <t>Impuestos, derechos y tasas</t>
  </si>
  <si>
    <t>Disminución de Fondos de Terceros</t>
  </si>
  <si>
    <t>Seguros de Fidelidad</t>
  </si>
  <si>
    <t xml:space="preserve">Productos farmaceuticos </t>
  </si>
  <si>
    <t>Gastos:</t>
  </si>
  <si>
    <t>Subvenciones y Otros Pagos por Transfencias:</t>
  </si>
  <si>
    <t>Otros Gastos:</t>
  </si>
  <si>
    <t xml:space="preserve"> Total Otros Gastos</t>
  </si>
  <si>
    <t>Alimentos y Bebidas para personas</t>
  </si>
  <si>
    <t>Alimentos para animales y agroforestales</t>
  </si>
  <si>
    <t>Licencias Antivirus/Mcafee/Adove</t>
  </si>
  <si>
    <t>Retenciones Honorarios</t>
  </si>
  <si>
    <t xml:space="preserve">         Subvenciones y Otros Pagos por  transferencias</t>
  </si>
  <si>
    <t>Pasantía</t>
  </si>
  <si>
    <t>Estado de Situacion Financiera</t>
  </si>
  <si>
    <t>ACTIVOS</t>
  </si>
  <si>
    <t>Activos Corrientes</t>
  </si>
  <si>
    <t>Efectivo y equivalentes de efectivo (Nota 7)</t>
  </si>
  <si>
    <t>Cuentas por Cobrar a corto plazo (Notas 8)</t>
  </si>
  <si>
    <t>Inventarios (Nota 9)</t>
  </si>
  <si>
    <t>Pagos anticipados (Nota 10)</t>
  </si>
  <si>
    <t>Total Activos Corrientes</t>
  </si>
  <si>
    <t>Activos no corrientes</t>
  </si>
  <si>
    <t>Cuentas por Cobrar a largo plazo (Notas 11)</t>
  </si>
  <si>
    <t xml:space="preserve"> Total activos no corrientes</t>
  </si>
  <si>
    <t>Total Activos</t>
  </si>
  <si>
    <t>Pasivos</t>
  </si>
  <si>
    <t>Pasivos corrientes</t>
  </si>
  <si>
    <t>Total pasivos corrientes</t>
  </si>
  <si>
    <t>Pasivos no corrientes</t>
  </si>
  <si>
    <t>Total pasivos no corrientes</t>
  </si>
  <si>
    <t>Total Pasivos</t>
  </si>
  <si>
    <t>Resultados pasitivos (ahorro) / negativo (desahorro)</t>
  </si>
  <si>
    <t>Total activos netos/ patrimonio</t>
  </si>
  <si>
    <t>TOTAL PASIVOS Y PATRIMONIO</t>
  </si>
  <si>
    <t>Textiles y vestuarios</t>
  </si>
  <si>
    <t>Compensacion por bono SISMAP</t>
  </si>
  <si>
    <t>NOTAS A LOS ESTADOS FINANCIEROS</t>
  </si>
  <si>
    <t>VALORES (RD$)</t>
  </si>
  <si>
    <t>Nota 1:</t>
  </si>
  <si>
    <t>A) Entidad Económica No Financiera, clasificada como Institución Pública Descentralizada o Autónoma Capítulo (5150).</t>
  </si>
  <si>
    <t>a.      Conocer, evaluar y recomendar al Poder Ejecutivo la instalación de zonas francas de exportación;</t>
  </si>
  <si>
    <t>San Rafael, pisos 4 y 5, Sector Miraflores, Santo Domingo, D.N., tiene como funciones básicas:</t>
  </si>
  <si>
    <t xml:space="preserve">e.      Velar por el estricto cumplimiento de la referida ley y de las disposiciones legales que sean dictadas sobre la materia, y tomar las </t>
  </si>
  <si>
    <t>medidas de lugar en caso de violación a las mismas.</t>
  </si>
  <si>
    <t xml:space="preserve">Transferencias de Ingresos Corrientes y  de Capital asignado por el Gobierno Central a través del Ministerio de Indusstria, Comercio </t>
  </si>
  <si>
    <r>
      <t>Nota 2: Responsables de la ejecución</t>
    </r>
    <r>
      <rPr>
        <b/>
        <sz val="10"/>
        <rFont val="Calibri"/>
        <family val="2"/>
      </rPr>
      <t>:</t>
    </r>
  </si>
  <si>
    <t>Director Ejecutivo</t>
  </si>
  <si>
    <t>Yarisol Lopez</t>
  </si>
  <si>
    <t>Sub Directora Ejecutiva</t>
  </si>
  <si>
    <t>Encargado Administrativo y Financiero</t>
  </si>
  <si>
    <t>Edita Altagracia Peña Ureña</t>
  </si>
  <si>
    <t>Encargada de Contabilidad</t>
  </si>
  <si>
    <r>
      <t>Nota 3: Base de Presentación</t>
    </r>
    <r>
      <rPr>
        <sz val="10"/>
        <rFont val="Calibri"/>
        <family val="2"/>
      </rPr>
      <t>:</t>
    </r>
  </si>
  <si>
    <t xml:space="preserve">El Consejo Nacional de Zonas Francas de Exportación presenta su presupuesto aprobado según la base contable de efectivo y los </t>
  </si>
  <si>
    <t xml:space="preserve">Estados financieros sobre la base de acumulación  (o devengado) conforme a las estipulaciones de las NICSP 24:  </t>
  </si>
  <si>
    <t>Presentación de Información del Presupuesto en los Estados Financieros.</t>
  </si>
  <si>
    <t>El Presupuesto se aprueba según la base contable de efectivo siguiendo una clasificación de pago por funciones.</t>
  </si>
  <si>
    <t>Nota 4: Moneda funcional y de presentación:</t>
  </si>
  <si>
    <t>Los Estados Financieros  están presentados en pesos dominicanos (RD$), moneda de curso legal en República Dominicana.</t>
  </si>
  <si>
    <t>Nota 5: Base de Medición:</t>
  </si>
  <si>
    <t>Los Estados Financieros se elaboran sobre la base del costo histórico.</t>
  </si>
  <si>
    <t>Nota 6: Resumen de Políticas Contables Significativas:</t>
  </si>
  <si>
    <t>Las principales políticas contables significativas del Consejo Nacional de Zonas Francas de Exportación, es como sigue:</t>
  </si>
  <si>
    <r>
      <t>Instrumentos financieros</t>
    </r>
    <r>
      <rPr>
        <sz val="10"/>
        <rFont val="Calibri"/>
        <family val="2"/>
      </rPr>
      <t>:</t>
    </r>
  </si>
  <si>
    <t>Activos:</t>
  </si>
  <si>
    <t>Pasivos:</t>
  </si>
  <si>
    <t>Son reconocidos al momento de realizar el registro contable, utilizando el principio de la oportunidad.</t>
  </si>
  <si>
    <t>Inventarios de materiales de oficina:</t>
  </si>
  <si>
    <t>Se utiliza el método promedio ponderado.</t>
  </si>
  <si>
    <r>
      <t>Propiedad, mobiliario y  equipos</t>
    </r>
    <r>
      <rPr>
        <sz val="10"/>
        <rFont val="Calibri"/>
        <family val="2"/>
      </rPr>
      <t>:</t>
    </r>
  </si>
  <si>
    <t>Reconocimiento y medición:</t>
  </si>
  <si>
    <t xml:space="preserve">Se reconoce el valor del costo histórico del activo para su contabilización  y se le aplica al elemento los diferentes porcentajes </t>
  </si>
  <si>
    <t>dependiendo al rubro a que pertenezca, según el sistema de Administracion de Bienes (SIAB).</t>
  </si>
  <si>
    <t>Depreciación:</t>
  </si>
  <si>
    <t>Se aplica el método de la línea recta y las tasas establecida por el Sistema de Administracion de Bienes (SIAB).</t>
  </si>
  <si>
    <t>Otros activos:</t>
  </si>
  <si>
    <t>Seguros pagados por adelantado, los cuales son medidos dependiendo del costo y vigencia de la póliza.</t>
  </si>
  <si>
    <t>Amortización:</t>
  </si>
  <si>
    <t>Provisiones:</t>
  </si>
  <si>
    <t>Contribuciones al Seguro de salud</t>
  </si>
  <si>
    <t>Contribuciones al Seguro de pensiones</t>
  </si>
  <si>
    <t>Contribuciones al Seguro de riesgo laboral</t>
  </si>
  <si>
    <t>Salario No.13</t>
  </si>
  <si>
    <t>Reconocimiento de ingresos:</t>
  </si>
  <si>
    <t>Impuesto sobre la renta:</t>
  </si>
  <si>
    <t xml:space="preserve">c.       Participar en las negociaciones, acuerdos, tratados, etc., nacionales y extranjeros que se relacionen con las operaciones y actividades </t>
  </si>
  <si>
    <t>Transferencias recibidas Gobierno Central</t>
  </si>
  <si>
    <t>Servicios de Capacitación</t>
  </si>
  <si>
    <t>Transferencias Corrientes a empresas del sector privado</t>
  </si>
  <si>
    <t>Transferencias Corrientes Org. Internacional</t>
  </si>
  <si>
    <t>Servicios de alimentación</t>
  </si>
  <si>
    <t>Gastos de Depreciación</t>
  </si>
  <si>
    <t>Gastos de Amortización</t>
  </si>
  <si>
    <t>Publicidad, Impresión y Encuadernación</t>
  </si>
  <si>
    <t>Servicios de conservacion, Rep. Menores y construcción</t>
  </si>
  <si>
    <t>Total pagos anticipados</t>
  </si>
  <si>
    <t>La amortización se calcula sobre el monto depreciable, que corresponde al costo de un activo menos su valor residual.</t>
  </si>
  <si>
    <t xml:space="preserve">La amortización es reconocida en el resultado sobre la base del método de línea recta. </t>
  </si>
  <si>
    <r>
      <t>Planes de aportaciones definidas</t>
    </r>
    <r>
      <rPr>
        <sz val="10"/>
        <rFont val="Calibri"/>
        <family val="2"/>
      </rPr>
      <t>:</t>
    </r>
  </si>
  <si>
    <r>
      <rPr>
        <b/>
        <sz val="16"/>
        <rFont val="Calibri"/>
        <family val="2"/>
        <scheme val="minor"/>
      </rPr>
      <t>Provisión de Regalía Pascual: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</si>
  <si>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Bonificación: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</si>
  <si>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Salario x aniversario de la Entidad: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</si>
  <si>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Bono x Desempeño (MAP)</t>
    </r>
    <r>
      <rPr>
        <sz val="16"/>
        <rFont val="Calibri"/>
        <family val="2"/>
        <scheme val="minor"/>
      </rPr>
      <t>: Se reconoce la duodécima parte del devengado del último pago mensualmente.</t>
    </r>
  </si>
  <si>
    <r>
      <rPr>
        <b/>
        <sz val="16"/>
        <rFont val="Calibri"/>
        <family val="2"/>
        <scheme val="minor"/>
      </rPr>
      <t>Cuentas x Cobrar</t>
    </r>
    <r>
      <rPr>
        <sz val="16"/>
        <rFont val="Calibri"/>
        <family val="2"/>
        <scheme val="minor"/>
      </rPr>
      <t>: Se reconoce el 4% mensual para las cuentas por cobrar Incobrables</t>
    </r>
  </si>
  <si>
    <r>
      <t>Otros beneficios a empleados</t>
    </r>
    <r>
      <rPr>
        <sz val="10"/>
        <rFont val="Calibri"/>
        <family val="2"/>
      </rPr>
      <t>:</t>
    </r>
  </si>
  <si>
    <t>Bonificaciones</t>
  </si>
  <si>
    <t xml:space="preserve">El Consejo Nacional de Zonas Francas, es una entidad gubernamental descentralizada sin fines de lucros, está exenta del pago </t>
  </si>
  <si>
    <t>sobre la renta y actúa como agente de retención.</t>
  </si>
  <si>
    <t>Cuentas por cobrar a largo plazo:  Empleado Feliz (Banco de Reservas)</t>
  </si>
  <si>
    <t>Cuentas por pagar a corto plazo (Suplidores de Bienes y Servicios)</t>
  </si>
  <si>
    <t>Ingresos por Transaciones con contraprestaciones:</t>
  </si>
  <si>
    <r>
      <t>Un detalle de los recursos asignados por el fondo 100, percibidos por transferencias, a traves del Ministerio de</t>
    </r>
    <r>
      <rPr>
        <sz val="16"/>
        <color rgb="FFFF0000"/>
        <rFont val="Calibri"/>
        <family val="2"/>
        <scheme val="minor"/>
      </rPr>
      <t xml:space="preserve">  </t>
    </r>
    <r>
      <rPr>
        <sz val="16"/>
        <rFont val="Calibri"/>
        <family val="2"/>
        <scheme val="minor"/>
      </rPr>
      <t xml:space="preserve">Industsria,  </t>
    </r>
  </si>
  <si>
    <t>Total ingresos por Transaciones con contraprestaciones</t>
  </si>
  <si>
    <t>Gastos de años anteriores</t>
  </si>
  <si>
    <t>Registros no monetarios para fines de flujo de efectivo</t>
  </si>
  <si>
    <t>Gasto depreciación</t>
  </si>
  <si>
    <t>Débito</t>
  </si>
  <si>
    <t>Crédito</t>
  </si>
  <si>
    <t>Depreciación acumulada</t>
  </si>
  <si>
    <t>Gasto amortización</t>
  </si>
  <si>
    <t>Amortización</t>
  </si>
  <si>
    <t>Pérdida por retiros de activos</t>
  </si>
  <si>
    <t>PPE</t>
  </si>
  <si>
    <t>Intangible</t>
  </si>
  <si>
    <t xml:space="preserve">CONSEJO NACIONAL DE ZONAS FRANCAS DE EXPORTACION (5150) </t>
  </si>
  <si>
    <t>Estado de Flujo de Efectivo</t>
  </si>
  <si>
    <t>Flujo de Efectivo procedentes de actividades de operación (AOP)</t>
  </si>
  <si>
    <t>CONSEJO NACIONAL DE ZONAS FRANCAS DE EXPORTACION (5150)</t>
  </si>
  <si>
    <t>Saldo al inicio</t>
  </si>
  <si>
    <t>Costos:</t>
  </si>
  <si>
    <t>Mobiliarios y equipos, neto</t>
  </si>
  <si>
    <t>Mobiliarios y Equipos de Oficinas</t>
  </si>
  <si>
    <t>Equipos de Transportes y otros</t>
  </si>
  <si>
    <t>Adiciones</t>
  </si>
  <si>
    <t>Saldo al final</t>
  </si>
  <si>
    <t>Depreciaciones Acumuladas:</t>
  </si>
  <si>
    <t>Cargo del periodo</t>
  </si>
  <si>
    <r>
      <t>Prestamo</t>
    </r>
    <r>
      <rPr>
        <sz val="16"/>
        <color theme="1"/>
        <rFont val="Calibri"/>
        <family val="2"/>
        <scheme val="minor"/>
      </rPr>
      <t xml:space="preserve"> empledo</t>
    </r>
    <r>
      <rPr>
        <sz val="16"/>
        <rFont val="Calibri"/>
        <family val="2"/>
        <scheme val="minor"/>
      </rPr>
      <t xml:space="preserve"> feliz </t>
    </r>
  </si>
  <si>
    <t xml:space="preserve">Nota 23.   </t>
  </si>
  <si>
    <t>Nota 22. Sueldos, salarios y beneficios a empleados:</t>
  </si>
  <si>
    <t xml:space="preserve">Nota 21.   </t>
  </si>
  <si>
    <t>Nota 18.    Provisiones a largo plazo:</t>
  </si>
  <si>
    <t xml:space="preserve">Nota 17.    </t>
  </si>
  <si>
    <t>Nota 16.    Provisiones a corto plazo:</t>
  </si>
  <si>
    <t>No tenemos cuenta por cobrar pendiente con el sector público.</t>
  </si>
  <si>
    <t>Gastos (Notas 22,23,24,25,26,27,28)</t>
  </si>
  <si>
    <t xml:space="preserve">          Ingresos por Transaciones con contraprestaciones (Nota 20)</t>
  </si>
  <si>
    <t xml:space="preserve">          Transferencias y donaciones (Nota 21)</t>
  </si>
  <si>
    <t>Activos Netos/Patrimonio (Nota 19)</t>
  </si>
  <si>
    <t>Provisiones a largo plazo (Nota 18)</t>
  </si>
  <si>
    <t>Propiedad, planta y equipos neto (Nota 12)</t>
  </si>
  <si>
    <t>Activos intangibles (Nota 13)</t>
  </si>
  <si>
    <t>Cuentas por pagar a corto plazo (Nota 14)</t>
  </si>
  <si>
    <t>Retenciones y acumulaciones por pagar (Nota 15)</t>
  </si>
  <si>
    <t>Provisiones a corto plazo (Nota 16)</t>
  </si>
  <si>
    <t xml:space="preserve">   Las notas 7 a la 28 son parte integral de estos Estados Financieros.</t>
  </si>
  <si>
    <t xml:space="preserve">          de las zonas francas de exportación;</t>
  </si>
  <si>
    <t>Un detalle de las cuentas por pagar por prestamos Empleado Feliz, con el  Banreservas a largo plazo</t>
  </si>
  <si>
    <t>Provision Salario 13</t>
  </si>
  <si>
    <t>Provision Bono Salario 14</t>
  </si>
  <si>
    <t>Bono Rendimiento Individual</t>
  </si>
  <si>
    <t>Anticipo a Proveedores (Activo Fijo pendiente de entregar)</t>
  </si>
  <si>
    <t xml:space="preserve">Depreciación Acumulada </t>
  </si>
  <si>
    <t>Cobros por Bienes y Servicios</t>
  </si>
  <si>
    <t>Relacion de cuentas por pagar a corto plazo a proveedores:</t>
  </si>
  <si>
    <t xml:space="preserve">AGUA CRYSTAL </t>
  </si>
  <si>
    <t>ASOC. DOMINICANA DE ZONAS FRANCAS (ADOZONA)</t>
  </si>
  <si>
    <t>CAASD</t>
  </si>
  <si>
    <t>CENTRO CUESTA NACIONAL</t>
  </si>
  <si>
    <t xml:space="preserve">COMPANIA DOMINICANA DE TELEFONOS </t>
  </si>
  <si>
    <t xml:space="preserve">EDITORA EL CARIBE </t>
  </si>
  <si>
    <t xml:space="preserve">LA COCINA DE DONA MARY </t>
  </si>
  <si>
    <t>SKETCHPROM SRL</t>
  </si>
  <si>
    <t xml:space="preserve">VIAMAR </t>
  </si>
  <si>
    <t>WINDTELECOM, SA</t>
  </si>
  <si>
    <t xml:space="preserve">Otros </t>
  </si>
  <si>
    <t>Ganancia (Pérdida) en operaciones:</t>
  </si>
  <si>
    <t>Total en Ganancia (Pérdida) en operaciones</t>
  </si>
  <si>
    <t xml:space="preserve">         Ganancias (pérdida) por diferencia en operaciones</t>
  </si>
  <si>
    <t>Cuenta colectora BR-010-2524521 (CUT) F-9995</t>
  </si>
  <si>
    <t>Cta.Control de Cuota/9995012000 (CUT)</t>
  </si>
  <si>
    <t>Sub-Cta. Cuota/9995012001 (CUT)</t>
  </si>
  <si>
    <t>Cuenta Control Cuota/0100115000 (F-0100) (CUT)</t>
  </si>
  <si>
    <t>Cuenta Proyecto Diagnostico Z. Francas/BR-01-314-000080-6/F-0100</t>
  </si>
  <si>
    <t>Préstamos por pagar a largo plazo:</t>
  </si>
  <si>
    <t>Total Préstamos por pagar a largo plazo</t>
  </si>
  <si>
    <t>Provision prestaciones ecónomicas</t>
  </si>
  <si>
    <t>Otras gratificaciones</t>
  </si>
  <si>
    <t>Transferencias de capital Gobierno Central</t>
  </si>
  <si>
    <t>Productos de Cuero, Plásticos y Caucho.</t>
  </si>
  <si>
    <t>Utiles Varios</t>
  </si>
  <si>
    <t>Minerales Metálicos y no Metáalicos</t>
  </si>
  <si>
    <t>Gastos de amortización pólizas de seguros</t>
  </si>
  <si>
    <t>Gastos de amortización Licencias informáticas</t>
  </si>
  <si>
    <t>Servicios informáticos y sistemas</t>
  </si>
  <si>
    <t>Otros gastos</t>
  </si>
  <si>
    <t>Préstamos por pagar a largo plazo (Nota 17)</t>
  </si>
  <si>
    <t>Bono SISMAP</t>
  </si>
  <si>
    <t>Cobros por Préstamos Pagaré, Hipoteca</t>
  </si>
  <si>
    <t>Otros Cobros</t>
  </si>
  <si>
    <t>Pagos reembolsos en efectivo de los montos recibidos en Préstamos, Pagaré Hipoteca</t>
  </si>
  <si>
    <t>FLORISTERIA ZUNIFLOR SRL</t>
  </si>
  <si>
    <t>HUMANO SEGUROS SA</t>
  </si>
  <si>
    <t>INDUSTRIAS BANILEJAS  SAS</t>
  </si>
  <si>
    <t xml:space="preserve">ISLA DOMINICANA DE PETROLEO </t>
  </si>
  <si>
    <t>LAVANDERIA ROYAL</t>
  </si>
  <si>
    <t xml:space="preserve">OPTIMUM CONTROL DE PLAGAS </t>
  </si>
  <si>
    <t>SIMPAPEL SRL</t>
  </si>
  <si>
    <t>Contribuciones al Seguro familiar de salud</t>
  </si>
  <si>
    <t>Contribuciones al fondo de pensiones</t>
  </si>
  <si>
    <t>Contribuciones al Seguro de Riesgo Laboral</t>
  </si>
  <si>
    <t>Ajuste del periodo</t>
  </si>
  <si>
    <t>`</t>
  </si>
  <si>
    <t xml:space="preserve">Cuenta Operativa BR-0100-102491690 (F-9995) </t>
  </si>
  <si>
    <t>Perdidas en Cuentas Incobrables</t>
  </si>
  <si>
    <t>Saldo al 30 de junio 2024</t>
  </si>
  <si>
    <t>Obras</t>
  </si>
  <si>
    <t>ANTURIANA DOMINICANA</t>
  </si>
  <si>
    <t>EDISIONES VALDEZ</t>
  </si>
  <si>
    <t>IMPRESOS TRES TINTAS</t>
  </si>
  <si>
    <t>GRUPO BVC S R L</t>
  </si>
  <si>
    <t>GAJAV SUPPY</t>
  </si>
  <si>
    <t>UNIVERSIDAD APEC</t>
  </si>
  <si>
    <t>Ingresos ejecutado CNZFE</t>
  </si>
  <si>
    <t xml:space="preserve">El método de amortización, la vida útil y el valor residual son revisados anualmente, si existe evidencia de algún cambio </t>
  </si>
  <si>
    <t>se ajustan, si es necesario.</t>
  </si>
  <si>
    <t>Por ventas de servicios propios</t>
  </si>
  <si>
    <t>Saldo al 30 de junio 2025</t>
  </si>
  <si>
    <t>empleado feliz</t>
  </si>
  <si>
    <t>BANCO DE RESERVAS DE LA REP. DOM.</t>
  </si>
  <si>
    <t>EFIITSA</t>
  </si>
  <si>
    <t>EL SAZON DE MAMA ZUNI</t>
  </si>
  <si>
    <t>ENFOQUE DIGITAL</t>
  </si>
  <si>
    <t>EMPRESA DE ELECTICIDAD DEL ESTE, S.A.</t>
  </si>
  <si>
    <t>EXQUISITECES VIRGINIA</t>
  </si>
  <si>
    <t>GTG INDUSTRIAL</t>
  </si>
  <si>
    <t>INGNAVIL CONFECCIONES</t>
  </si>
  <si>
    <t>INVERSION TEJEDA VALERA</t>
  </si>
  <si>
    <t>M R O MANTENIMIENTO</t>
  </si>
  <si>
    <t>MP UNIFORMES DE EMPRESAS</t>
  </si>
  <si>
    <t>NEXALINK TECHNOLOGIES</t>
  </si>
  <si>
    <t>OFFITEK</t>
  </si>
  <si>
    <t>PAPELERIA Y SERVS. MULTIPLES YEFEL</t>
  </si>
  <si>
    <t>PROVESOL</t>
  </si>
  <si>
    <t>PLAZA LAMA</t>
  </si>
  <si>
    <t>QC 2000 CONSULTORES LATINOAMERICANOS</t>
  </si>
  <si>
    <t>ROMIVA</t>
  </si>
  <si>
    <t>SAN MIGUEL</t>
  </si>
  <si>
    <t>SEGURIDAD Y PROTECCION INDUSTRIAL</t>
  </si>
  <si>
    <t>SUPLIDORA RENMA</t>
  </si>
  <si>
    <t>SETI &amp; SIDIF DOMINICANA</t>
  </si>
  <si>
    <t>SUMINISTRO GUIPAK</t>
  </si>
  <si>
    <t>AENOR DOMINICANA</t>
  </si>
  <si>
    <t>BROTHERS SUPPY</t>
  </si>
  <si>
    <t>SERVICIOS E INSTALACIONES TECNICAS SRL</t>
  </si>
  <si>
    <t xml:space="preserve">Un detalle de las cuentas por pagar a proveedores  del sector privado a corto plazo de bienes y servicios  al  30 de junio del </t>
  </si>
  <si>
    <t>ENERO DIC.2024</t>
  </si>
  <si>
    <t>los siguientes:</t>
  </si>
  <si>
    <t xml:space="preserve">Los Estados Financieros Comparativos, han sido preparados de conformidad con Las Normas Internacionales de Contabilidad </t>
  </si>
  <si>
    <t xml:space="preserve">(NICSP), aplicable al Sector Público No Financiero y Sustentada en Políticas Contables Significativas, adoptadas por la Dirección </t>
  </si>
  <si>
    <t>General de Contabilidad Gubernamental (DIGECOG).</t>
  </si>
  <si>
    <t>El balance  de las cuentas por cobrar a largo plazo, correspondiente a prestamos de los empleados de la entidad, por el programa</t>
  </si>
  <si>
    <r>
      <t xml:space="preserve">de Empleado Feliz con el Banco de Reservas de la República Dominicana, del cual.,  </t>
    </r>
    <r>
      <rPr>
        <b/>
        <sz val="16"/>
        <color theme="1"/>
        <rFont val="Calibri"/>
        <family val="2"/>
        <scheme val="minor"/>
      </rPr>
      <t xml:space="preserve">el CNZFE es garante solidario de dichos </t>
    </r>
  </si>
  <si>
    <t>por el periodo  ejecutado, el cual es incluido como informacion suplementaria en los Estados Financieros y sus Notas.</t>
  </si>
  <si>
    <t xml:space="preserve">Inicialmente las cuentas y partidas por cobrar se reconocen al momento de realizar la factura por cobrar, utilizando el método </t>
  </si>
  <si>
    <t>de lo devengado.</t>
  </si>
  <si>
    <t>Xavier José Medina Concepción</t>
  </si>
  <si>
    <t>Johannes Marinus Kelner De Benito</t>
  </si>
  <si>
    <t>SEMESTRE ENERO - JUNIO DE LOS AÑOS 2026 Y 2025</t>
  </si>
  <si>
    <t>d.      Realizar el levantamiento de las estadísticas, procedimientos y controles necesarios a fin de dar cabal cumplimiento a los acuerdos y</t>
  </si>
  <si>
    <t xml:space="preserve"> negociaciones; </t>
  </si>
  <si>
    <t>Las principales fuentes de financiamiento son  las ventas de servicios por ingresos propios, fondo  (9995), organismo financiador (102) y</t>
  </si>
  <si>
    <t>y Mipymes, fondo (0100), organismo financiador (100).</t>
  </si>
  <si>
    <t xml:space="preserve">El Consejo Nacional de Zonas Francas de Exportacion (CNZFE), organismo creado por la Ley 8-90 sobre Zonas Francas en la Republica </t>
  </si>
  <si>
    <t xml:space="preserve">Dominicana, y designado como órgano rector de dicho sector del país, con domicilio en la calle Leopoldo Navarro No. 61, Edificio </t>
  </si>
  <si>
    <t xml:space="preserve">El presupuesto aprobado cubre el periodo fiscal que va desde el 1ero.de Enero hasta el 31 de diciembre de 2026  y su ejecución </t>
  </si>
  <si>
    <t>La vida útil estimada de los programas y software abarca un período de 5 a 10 años.</t>
  </si>
  <si>
    <r>
      <rPr>
        <b/>
        <sz val="16"/>
        <rFont val="Calibri"/>
        <family val="2"/>
        <scheme val="minor"/>
      </rPr>
      <t>Provisión de prestaciones económicas:</t>
    </r>
    <r>
      <rPr>
        <sz val="16"/>
        <rFont val="Calibri"/>
        <family val="2"/>
        <scheme val="minor"/>
      </rPr>
      <t xml:space="preserve"> Se reconoce un 12% mensual del valor bruto de la nómina</t>
    </r>
    <r>
      <rPr>
        <b/>
        <sz val="10"/>
        <rFont val="Calibri"/>
        <family val="2"/>
      </rPr>
      <t>.</t>
    </r>
  </si>
  <si>
    <t>Un detalle del efectivo y equivalente Al 30 de junio del semestre 2026 y al 30 de junio del semestre 2025, es como sigue:</t>
  </si>
  <si>
    <t xml:space="preserve">Un detalle de las cuentas por cobrar a corto plazo al  30 de junio del semestre 2026 y al 30 de junio del semestre 2025, </t>
  </si>
  <si>
    <t xml:space="preserve">Un detalle de las partidas de inventario en almacen  al  30 de junio del semestre 2026 y al 30 de junio del semestre 2025, </t>
  </si>
  <si>
    <t>Un detalle de los pagos anticipados  al  30 de junio del semestre 2026 y al 30 de junio del semestre 2025, es como sigue:</t>
  </si>
  <si>
    <t>empleados, al  30 de junio del semestre 2026 y al 30 de junio del semestre 2025, es como sigue:</t>
  </si>
  <si>
    <t xml:space="preserve">El movimiento de propiedad, planta, equipos y depreciacion acumulada  al  30 de junio del semestre 2026 y al 30 de junio del </t>
  </si>
  <si>
    <t>semestre 2025, es como sigue:</t>
  </si>
  <si>
    <t>Un detalle de los activos intangibles  al  30 de junio del semestre 2026 y al 30 de junio del semestre 2025, es como sigue:</t>
  </si>
  <si>
    <t>semestre 2026 y al  30 de junio del semestre  2025,  es como sigue:</t>
  </si>
  <si>
    <t xml:space="preserve">Un detalle de las retenciones y acumulaciones por pagar  al  30 de junio del semestre 2026 y al 30 de junio del semestre 2025, </t>
  </si>
  <si>
    <t xml:space="preserve">Un detalle de la cuenta de provisiones a largo plazo  al  30 de junio del semestre 2026 y al 30 de junio del semestre 2025, </t>
  </si>
  <si>
    <t>Al 30 de junio del semestre 2026 y al 30 de junio del semestre 2025,   la composición del capital de la institucion es como sigue:</t>
  </si>
  <si>
    <t>Un detalle de los recursos por ventas de servicios percibidos por nuestros ingresos propios,   al  30 de junio del semestre 2026 y al</t>
  </si>
  <si>
    <t>30 de junio del semestre 2025, es como sigue:</t>
  </si>
  <si>
    <t>Comercio y  Mipymes,    al  30 de junio del semestre 2026 y al 30 de junio del semestre 2025, es como sigue:</t>
  </si>
  <si>
    <t xml:space="preserve">Un detalle de los ingresos por remuneraciones al personal  al  30 de junio del semestre 2026 y al 30 de junio del semestre 2025, </t>
  </si>
  <si>
    <t>Al 30 de junio del semestre 2026 y al 30 de junio del semestre 2025, el Consejo Nacional de Zonas Francas de Exportación</t>
  </si>
  <si>
    <t>mantenia en su nómina 142 y 148  empleados respectivamente.</t>
  </si>
  <si>
    <t xml:space="preserve">Un detalle de Subvenciones y  otros pagos por transferencias corrientes  al  30 de junio del semestre 2026 y al 30 de junio del </t>
  </si>
  <si>
    <t xml:space="preserve">Un detalle de los gastos de suministro y materiales  al  30 de junio del semestre 2026 y al 30 de junio del semestre 2025, </t>
  </si>
  <si>
    <t>Un detalle de los gastos de depreciacion y amortización  al  30 de junio del semestre 2026 y al 30 de junio del semestre 2025,</t>
  </si>
  <si>
    <t>Un detalle de los pagos por otros gastos  al  30 de junio del semestre 2026 y al 30 de junio del semestre 2025, es como sigue:</t>
  </si>
  <si>
    <t>Un detalle de los gastos financieros  al  30 de junio del semestre 2026 y al 30 de junio del semestre 2025, es como sigue:</t>
  </si>
  <si>
    <t xml:space="preserve">Un detalle de la ganancia (pérdida) en operaciones cambiarias  al  30 de junio del semestre 2026 y al 30 de junio del semestre 2025, </t>
  </si>
  <si>
    <t>Cuenta ahorros dólares #BR-2-24-000978-0/US$59.2435 y US$59.5673  x RD$1.00</t>
  </si>
  <si>
    <t>Impuesto 5ta. Cat.</t>
  </si>
  <si>
    <t>Retencion Seguro Humano</t>
  </si>
  <si>
    <t>Compensacion almuerzo</t>
  </si>
  <si>
    <t>Utiles de Escritorio y Oficina</t>
  </si>
  <si>
    <t>Materiales de limpieza</t>
  </si>
  <si>
    <t>Al 30 de junio semestre 2026 y 30 de junio semestre 2025</t>
  </si>
  <si>
    <t>AL 30 DE JUNIO SEMESTRE 2025 Y 30 DE JUNIO SEMESTRE 2026</t>
  </si>
  <si>
    <t>Saldo al 30 de junio 2026</t>
  </si>
  <si>
    <t>DOMINGO SANTANA MEDINA</t>
  </si>
  <si>
    <t>SERVICE TRAVEL</t>
  </si>
  <si>
    <t>GOMERA Y ASOCIADOS, S R L</t>
  </si>
  <si>
    <t>PEALCA, S R L</t>
  </si>
  <si>
    <t>C &amp; C TECNHNOLODY SUPPLY (KHARITES) SRL</t>
  </si>
  <si>
    <t>SUPLIDORA INDUSTRIAL DOMINICANA</t>
  </si>
  <si>
    <t>SOLAJICO COMERCIAL, S R L</t>
  </si>
  <si>
    <t>ARQUITECTURA EN CRISTALES</t>
  </si>
  <si>
    <t>SOLUCIONES INTEGRALES CAF, SRL</t>
  </si>
  <si>
    <t>WINPE GROUP</t>
  </si>
  <si>
    <t>DR PETROLEUM SRL</t>
  </si>
  <si>
    <t>XCLUSIVIDADES BY YILLIAN CALDERON, S R L</t>
  </si>
  <si>
    <t>UNIVERSIDD NACIONAL PEDRO HENRIQUEZ UREÑA</t>
  </si>
  <si>
    <t>ADOZONA</t>
  </si>
  <si>
    <t>ANTONIO P. HACHE &amp; CO, SAS</t>
  </si>
  <si>
    <t>Durante el mes Terminado Al 30 de junio 2026</t>
  </si>
  <si>
    <t>Fuentes Financieras</t>
  </si>
  <si>
    <t>Disminucion de activos financieros</t>
  </si>
  <si>
    <t>Pendiente de Regularizar</t>
  </si>
  <si>
    <t>ENERO-DIC. 2025</t>
  </si>
  <si>
    <t>VARIACIONES</t>
  </si>
  <si>
    <t>DESGLOSE:</t>
  </si>
  <si>
    <t>US$32.31 x US$63.5063</t>
  </si>
  <si>
    <t>US$239.12 x US$60.1964</t>
  </si>
  <si>
    <t>US$17.74 x US$60.3846</t>
  </si>
  <si>
    <t>US$84.38 x 607993</t>
  </si>
  <si>
    <t>US$58.13 x 59.4630</t>
  </si>
  <si>
    <t>US$62.44 x 59.1520</t>
  </si>
  <si>
    <t>US$24.37x 59.2435</t>
  </si>
  <si>
    <t>Amortizaciones/</t>
  </si>
  <si>
    <t>Depreciacion</t>
  </si>
  <si>
    <t>Gastos ejecutado CNZFE</t>
  </si>
  <si>
    <t>Ejecución ingresos s/gastos CNZFE</t>
  </si>
  <si>
    <t>Devengado Ingresos.en SIGEF</t>
  </si>
  <si>
    <t>Devengado Gtos.en SIGEF</t>
  </si>
  <si>
    <t>Ejecución ingresos s/gastos SIGEF</t>
  </si>
  <si>
    <t>Diferencia entre CNZFE Y SIGEF</t>
  </si>
  <si>
    <t xml:space="preserve">Al 30 de junio del semestre 2026 y al 30 de junio del semestre 2025, los principales funcionarios y Directores  del CNZFE son </t>
  </si>
  <si>
    <t>al  30 de junio del semestre 2026 y al 30 de junio del semestre 2025, es como sigue:</t>
  </si>
  <si>
    <t>Comisión y Gastos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</si>
</sst>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0\ _P_t_s_-;\-* #,##0.00\ _P_t_s_-;_-* &quot;-&quot;??\ _P_t_s_-;_-@_-"/>
    <numFmt numFmtId="167" formatCode="_-* #,##0\ _P_t_s_-;\-* #,##0\ _P_t_s_-;_-* &quot;-&quot;??\ _P_t_s_-;_-@_-"/>
    <numFmt numFmtId="168" formatCode="###0;###0"/>
    <numFmt numFmtId="169" formatCode="###0.0;###0.0"/>
    <numFmt numFmtId="170" formatCode="_(* #,##0_);_(* \(#,##0\);_(* &quot;-&quot;??_);_(@_)"/>
  </numFmts>
  <fonts count="54" x14ac:knownFonts="1">
    <font>
      <sz val="10"/>
      <name val="Arial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231F2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2"/>
    </font>
    <font>
      <sz val="9"/>
      <name val="Arial"/>
      <family val="2"/>
    </font>
    <font>
      <sz val="11"/>
      <color theme="1"/>
      <name val="Tahoma"/>
      <family val="2"/>
    </font>
    <font>
      <b/>
      <sz val="11"/>
      <color rgb="FF231F20"/>
      <name val="Tahoma"/>
      <family val="2"/>
    </font>
    <font>
      <b/>
      <sz val="11"/>
      <color rgb="FF000000"/>
      <name val="Tahoma"/>
      <family val="2"/>
    </font>
    <font>
      <b/>
      <sz val="11"/>
      <color rgb="FF000000"/>
      <name val="Times New Roman"/>
      <family val="2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2"/>
      <name val="Times New Roman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Times New Roman"/>
      <family val="1"/>
    </font>
    <font>
      <b/>
      <sz val="11"/>
      <name val="Tahoma"/>
      <family val="2"/>
    </font>
    <font>
      <b/>
      <sz val="14"/>
      <color theme="1"/>
      <name val="Tahoma"/>
      <family val="2"/>
    </font>
    <font>
      <sz val="14"/>
      <color theme="1"/>
      <name val="Times New Roman"/>
      <family val="1"/>
    </font>
    <font>
      <sz val="14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ahoma"/>
      <family val="2"/>
    </font>
    <font>
      <sz val="14"/>
      <name val="Tahoma"/>
      <family val="2"/>
    </font>
    <font>
      <b/>
      <u val="double"/>
      <sz val="14"/>
      <color theme="1"/>
      <name val="Tahoma"/>
      <family val="2"/>
    </font>
    <font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6" fontId="3" fillId="0" borderId="0" applyFont="0" applyFill="0" applyBorder="0" applyAlignment="0" applyProtection="0"/>
    <xf numFmtId="0" fontId="40" fillId="0" borderId="0"/>
  </cellStyleXfs>
  <cellXfs count="405">
    <xf numFmtId="0" fontId="0" fillId="0" borderId="0" xfId="0"/>
    <xf numFmtId="0" fontId="6" fillId="2" borderId="0" xfId="0" applyFont="1" applyFill="1"/>
    <xf numFmtId="0" fontId="4" fillId="0" borderId="0" xfId="0" applyFont="1"/>
    <xf numFmtId="43" fontId="0" fillId="0" borderId="0" xfId="1" applyNumberFormat="1" applyFont="1"/>
    <xf numFmtId="0" fontId="10" fillId="0" borderId="1" xfId="0" applyFont="1" applyBorder="1"/>
    <xf numFmtId="43" fontId="10" fillId="0" borderId="1" xfId="1" applyNumberFormat="1" applyFont="1" applyBorder="1"/>
    <xf numFmtId="43" fontId="10" fillId="0" borderId="1" xfId="1" applyNumberFormat="1" applyFont="1" applyBorder="1" applyAlignment="1">
      <alignment horizontal="right"/>
    </xf>
    <xf numFmtId="43" fontId="9" fillId="0" borderId="1" xfId="1" applyNumberFormat="1" applyFont="1" applyBorder="1"/>
    <xf numFmtId="0" fontId="10" fillId="0" borderId="3" xfId="0" applyFont="1" applyBorder="1"/>
    <xf numFmtId="0" fontId="10" fillId="0" borderId="5" xfId="0" applyFont="1" applyBorder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/>
    <xf numFmtId="164" fontId="12" fillId="0" borderId="0" xfId="0" applyNumberFormat="1" applyFont="1" applyAlignment="1">
      <alignment vertical="center"/>
    </xf>
    <xf numFmtId="164" fontId="12" fillId="0" borderId="0" xfId="0" applyNumberFormat="1" applyFont="1"/>
    <xf numFmtId="0" fontId="6" fillId="2" borderId="0" xfId="0" applyFont="1" applyFill="1" applyAlignment="1">
      <alignment horizont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vertical="center"/>
    </xf>
    <xf numFmtId="166" fontId="7" fillId="0" borderId="0" xfId="1" applyFont="1" applyFill="1" applyBorder="1" applyAlignment="1">
      <alignment horizontal="center" vertical="top" wrapText="1"/>
    </xf>
    <xf numFmtId="169" fontId="1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66" fontId="8" fillId="0" borderId="0" xfId="1" applyFont="1" applyFill="1" applyBorder="1" applyAlignment="1">
      <alignment horizontal="center" vertical="top" wrapText="1"/>
    </xf>
    <xf numFmtId="166" fontId="15" fillId="0" borderId="0" xfId="1" applyFont="1" applyBorder="1"/>
    <xf numFmtId="165" fontId="15" fillId="0" borderId="0" xfId="0" applyNumberFormat="1" applyFont="1"/>
    <xf numFmtId="0" fontId="1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166" fontId="7" fillId="0" borderId="0" xfId="1" applyFont="1" applyFill="1" applyBorder="1" applyAlignment="1">
      <alignment horizontal="center" vertical="center" wrapText="1"/>
    </xf>
    <xf numFmtId="0" fontId="19" fillId="0" borderId="0" xfId="0" applyFont="1"/>
    <xf numFmtId="0" fontId="2" fillId="0" borderId="0" xfId="0" applyFont="1"/>
    <xf numFmtId="0" fontId="11" fillId="0" borderId="0" xfId="0" applyFont="1" applyAlignment="1">
      <alignment horizontal="center" vertical="top" wrapText="1"/>
    </xf>
    <xf numFmtId="168" fontId="22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66" fontId="11" fillId="0" borderId="0" xfId="1" applyFont="1" applyFill="1" applyBorder="1" applyAlignment="1">
      <alignment horizontal="center" vertical="top" wrapText="1"/>
    </xf>
    <xf numFmtId="0" fontId="23" fillId="0" borderId="0" xfId="0" applyFont="1"/>
    <xf numFmtId="165" fontId="23" fillId="0" borderId="0" xfId="0" applyNumberFormat="1" applyFont="1"/>
    <xf numFmtId="0" fontId="23" fillId="2" borderId="0" xfId="0" applyFont="1" applyFill="1"/>
    <xf numFmtId="165" fontId="23" fillId="2" borderId="0" xfId="0" applyNumberFormat="1" applyFont="1" applyFill="1"/>
    <xf numFmtId="0" fontId="24" fillId="2" borderId="0" xfId="0" applyFont="1" applyFill="1"/>
    <xf numFmtId="0" fontId="25" fillId="2" borderId="0" xfId="0" applyFont="1" applyFill="1"/>
    <xf numFmtId="165" fontId="24" fillId="2" borderId="1" xfId="0" quotePrefix="1" applyNumberFormat="1" applyFont="1" applyFill="1" applyBorder="1" applyAlignment="1">
      <alignment horizontal="center"/>
    </xf>
    <xf numFmtId="165" fontId="24" fillId="2" borderId="0" xfId="0" applyNumberFormat="1" applyFont="1" applyFill="1" applyAlignment="1">
      <alignment horizontal="center"/>
    </xf>
    <xf numFmtId="165" fontId="23" fillId="2" borderId="1" xfId="0" quotePrefix="1" applyNumberFormat="1" applyFont="1" applyFill="1" applyBorder="1" applyAlignment="1">
      <alignment horizontal="center"/>
    </xf>
    <xf numFmtId="165" fontId="23" fillId="2" borderId="0" xfId="0" applyNumberFormat="1" applyFont="1" applyFill="1" applyAlignment="1">
      <alignment horizontal="center"/>
    </xf>
    <xf numFmtId="165" fontId="23" fillId="0" borderId="1" xfId="1" applyNumberFormat="1" applyFont="1" applyFill="1" applyBorder="1"/>
    <xf numFmtId="165" fontId="23" fillId="2" borderId="0" xfId="1" applyNumberFormat="1" applyFont="1" applyFill="1" applyBorder="1"/>
    <xf numFmtId="0" fontId="23" fillId="0" borderId="4" xfId="0" applyFont="1" applyBorder="1" applyAlignment="1">
      <alignment horizontal="left"/>
    </xf>
    <xf numFmtId="165" fontId="24" fillId="2" borderId="1" xfId="1" applyNumberFormat="1" applyFont="1" applyFill="1" applyBorder="1"/>
    <xf numFmtId="165" fontId="24" fillId="2" borderId="0" xfId="1" applyNumberFormat="1" applyFont="1" applyFill="1" applyBorder="1"/>
    <xf numFmtId="166" fontId="23" fillId="2" borderId="0" xfId="1" applyFont="1" applyFill="1"/>
    <xf numFmtId="165" fontId="25" fillId="2" borderId="0" xfId="0" applyNumberFormat="1" applyFont="1" applyFill="1"/>
    <xf numFmtId="43" fontId="23" fillId="2" borderId="0" xfId="0" applyNumberFormat="1" applyFont="1" applyFill="1"/>
    <xf numFmtId="43" fontId="24" fillId="2" borderId="0" xfId="0" applyNumberFormat="1" applyFont="1" applyFill="1"/>
    <xf numFmtId="0" fontId="24" fillId="0" borderId="0" xfId="0" applyFont="1"/>
    <xf numFmtId="43" fontId="23" fillId="2" borderId="1" xfId="0" quotePrefix="1" applyNumberFormat="1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165" fontId="23" fillId="2" borderId="0" xfId="0" applyNumberFormat="1" applyFont="1" applyFill="1" applyAlignment="1">
      <alignment horizontal="left"/>
    </xf>
    <xf numFmtId="166" fontId="24" fillId="2" borderId="0" xfId="1" applyFont="1" applyFill="1"/>
    <xf numFmtId="0" fontId="26" fillId="0" borderId="0" xfId="0" applyFont="1" applyAlignment="1">
      <alignment horizontal="left"/>
    </xf>
    <xf numFmtId="0" fontId="26" fillId="0" borderId="0" xfId="0" applyFont="1"/>
    <xf numFmtId="165" fontId="26" fillId="0" borderId="0" xfId="0" applyNumberFormat="1" applyFont="1"/>
    <xf numFmtId="165" fontId="23" fillId="2" borderId="0" xfId="1" applyNumberFormat="1" applyFont="1" applyFill="1"/>
    <xf numFmtId="165" fontId="24" fillId="2" borderId="0" xfId="0" applyNumberFormat="1" applyFont="1" applyFill="1"/>
    <xf numFmtId="0" fontId="23" fillId="2" borderId="0" xfId="0" applyFont="1" applyFill="1" applyAlignment="1">
      <alignment horizontal="left"/>
    </xf>
    <xf numFmtId="165" fontId="24" fillId="2" borderId="0" xfId="0" quotePrefix="1" applyNumberFormat="1" applyFont="1" applyFill="1" applyAlignment="1">
      <alignment horizontal="center"/>
    </xf>
    <xf numFmtId="166" fontId="23" fillId="0" borderId="0" xfId="1" applyFont="1" applyFill="1"/>
    <xf numFmtId="0" fontId="27" fillId="2" borderId="0" xfId="0" applyFont="1" applyFill="1"/>
    <xf numFmtId="0" fontId="23" fillId="2" borderId="3" xfId="0" applyFont="1" applyFill="1" applyBorder="1"/>
    <xf numFmtId="0" fontId="23" fillId="2" borderId="4" xfId="0" applyFont="1" applyFill="1" applyBorder="1"/>
    <xf numFmtId="0" fontId="23" fillId="2" borderId="5" xfId="0" applyFont="1" applyFill="1" applyBorder="1"/>
    <xf numFmtId="0" fontId="24" fillId="2" borderId="3" xfId="0" applyFont="1" applyFill="1" applyBorder="1"/>
    <xf numFmtId="0" fontId="24" fillId="2" borderId="4" xfId="0" applyFont="1" applyFill="1" applyBorder="1"/>
    <xf numFmtId="0" fontId="24" fillId="2" borderId="5" xfId="0" applyFont="1" applyFill="1" applyBorder="1"/>
    <xf numFmtId="165" fontId="28" fillId="0" borderId="0" xfId="0" applyNumberFormat="1" applyFont="1"/>
    <xf numFmtId="165" fontId="24" fillId="0" borderId="1" xfId="0" quotePrefix="1" applyNumberFormat="1" applyFont="1" applyBorder="1" applyAlignment="1">
      <alignment horizontal="center"/>
    </xf>
    <xf numFmtId="165" fontId="23" fillId="2" borderId="0" xfId="0" quotePrefix="1" applyNumberFormat="1" applyFont="1" applyFill="1" applyAlignment="1">
      <alignment horizontal="center"/>
    </xf>
    <xf numFmtId="0" fontId="23" fillId="0" borderId="3" xfId="0" applyFont="1" applyBorder="1"/>
    <xf numFmtId="0" fontId="23" fillId="0" borderId="4" xfId="0" applyFont="1" applyBorder="1"/>
    <xf numFmtId="0" fontId="23" fillId="0" borderId="5" xfId="0" applyFont="1" applyBorder="1"/>
    <xf numFmtId="165" fontId="23" fillId="0" borderId="1" xfId="0" quotePrefix="1" applyNumberFormat="1" applyFont="1" applyBorder="1" applyAlignment="1">
      <alignment horizontal="center"/>
    </xf>
    <xf numFmtId="165" fontId="23" fillId="0" borderId="0" xfId="0" applyNumberFormat="1" applyFont="1" applyAlignment="1">
      <alignment horizontal="center"/>
    </xf>
    <xf numFmtId="4" fontId="3" fillId="0" borderId="0" xfId="0" applyNumberFormat="1" applyFont="1"/>
    <xf numFmtId="166" fontId="23" fillId="0" borderId="0" xfId="1" applyFont="1" applyFill="1" applyBorder="1"/>
    <xf numFmtId="166" fontId="24" fillId="0" borderId="0" xfId="1" applyFont="1" applyFill="1" applyBorder="1"/>
    <xf numFmtId="4" fontId="15" fillId="0" borderId="0" xfId="0" applyNumberFormat="1" applyFont="1"/>
    <xf numFmtId="164" fontId="15" fillId="0" borderId="0" xfId="0" applyNumberFormat="1" applyFont="1"/>
    <xf numFmtId="166" fontId="13" fillId="0" borderId="0" xfId="1" applyFont="1" applyBorder="1" applyAlignment="1"/>
    <xf numFmtId="166" fontId="12" fillId="0" borderId="0" xfId="1" applyFont="1" applyBorder="1" applyAlignment="1"/>
    <xf numFmtId="166" fontId="3" fillId="0" borderId="0" xfId="1" applyFont="1"/>
    <xf numFmtId="166" fontId="7" fillId="0" borderId="0" xfId="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/>
    </xf>
    <xf numFmtId="0" fontId="27" fillId="0" borderId="0" xfId="0" applyFont="1"/>
    <xf numFmtId="0" fontId="24" fillId="2" borderId="12" xfId="0" applyFont="1" applyFill="1" applyBorder="1"/>
    <xf numFmtId="0" fontId="24" fillId="2" borderId="0" xfId="0" applyFont="1" applyFill="1" applyAlignment="1">
      <alignment horizontal="center"/>
    </xf>
    <xf numFmtId="0" fontId="30" fillId="2" borderId="0" xfId="0" applyFont="1" applyFill="1" applyAlignment="1">
      <alignment horizontal="center"/>
    </xf>
    <xf numFmtId="0" fontId="31" fillId="0" borderId="0" xfId="0" applyFont="1"/>
    <xf numFmtId="0" fontId="30" fillId="2" borderId="0" xfId="0" applyFont="1" applyFill="1"/>
    <xf numFmtId="0" fontId="31" fillId="2" borderId="0" xfId="0" applyFont="1" applyFill="1"/>
    <xf numFmtId="166" fontId="31" fillId="0" borderId="0" xfId="0" applyNumberFormat="1" applyFont="1"/>
    <xf numFmtId="167" fontId="31" fillId="2" borderId="0" xfId="1" applyNumberFormat="1" applyFont="1" applyFill="1" applyBorder="1" applyAlignment="1">
      <alignment horizontal="right"/>
    </xf>
    <xf numFmtId="166" fontId="31" fillId="2" borderId="0" xfId="1" applyFont="1" applyFill="1" applyBorder="1" applyAlignment="1">
      <alignment horizontal="right"/>
    </xf>
    <xf numFmtId="166" fontId="30" fillId="2" borderId="0" xfId="1" applyFont="1" applyFill="1" applyBorder="1" applyAlignment="1">
      <alignment horizontal="right"/>
    </xf>
    <xf numFmtId="166" fontId="31" fillId="0" borderId="0" xfId="1" applyFont="1"/>
    <xf numFmtId="0" fontId="30" fillId="2" borderId="0" xfId="0" applyFont="1" applyFill="1" applyAlignment="1">
      <alignment horizontal="right"/>
    </xf>
    <xf numFmtId="166" fontId="31" fillId="2" borderId="0" xfId="1" applyFont="1" applyFill="1" applyBorder="1"/>
    <xf numFmtId="167" fontId="30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center"/>
    </xf>
    <xf numFmtId="0" fontId="30" fillId="2" borderId="0" xfId="0" applyFont="1" applyFill="1" applyAlignment="1">
      <alignment horizontal="left" indent="3"/>
    </xf>
    <xf numFmtId="0" fontId="31" fillId="2" borderId="0" xfId="0" applyFont="1" applyFill="1" applyAlignment="1">
      <alignment horizontal="left"/>
    </xf>
    <xf numFmtId="0" fontId="30" fillId="2" borderId="0" xfId="0" applyFont="1" applyFill="1" applyAlignment="1">
      <alignment horizontal="left" indent="4"/>
    </xf>
    <xf numFmtId="0" fontId="31" fillId="2" borderId="0" xfId="0" applyFont="1" applyFill="1" applyAlignment="1">
      <alignment horizontal="left" indent="4"/>
    </xf>
    <xf numFmtId="165" fontId="31" fillId="0" borderId="0" xfId="0" applyNumberFormat="1" applyFont="1"/>
    <xf numFmtId="167" fontId="31" fillId="2" borderId="0" xfId="1" applyNumberFormat="1" applyFont="1" applyFill="1" applyBorder="1"/>
    <xf numFmtId="167" fontId="30" fillId="2" borderId="0" xfId="1" applyNumberFormat="1" applyFont="1" applyFill="1" applyBorder="1"/>
    <xf numFmtId="166" fontId="31" fillId="2" borderId="0" xfId="1" applyFont="1" applyFill="1"/>
    <xf numFmtId="0" fontId="30" fillId="2" borderId="0" xfId="0" applyFont="1" applyFill="1" applyAlignment="1">
      <alignment vertical="top"/>
    </xf>
    <xf numFmtId="0" fontId="31" fillId="2" borderId="0" xfId="0" applyFont="1" applyFill="1" applyAlignment="1">
      <alignment horizontal="right" vertical="top" indent="5"/>
    </xf>
    <xf numFmtId="166" fontId="31" fillId="0" borderId="0" xfId="1" applyFont="1" applyFill="1"/>
    <xf numFmtId="167" fontId="31" fillId="2" borderId="0" xfId="1" applyNumberFormat="1" applyFont="1" applyFill="1" applyBorder="1" applyAlignment="1">
      <alignment horizontal="right" vertical="top"/>
    </xf>
    <xf numFmtId="0" fontId="30" fillId="0" borderId="0" xfId="0" applyFont="1"/>
    <xf numFmtId="167" fontId="30" fillId="2" borderId="0" xfId="1" applyNumberFormat="1" applyFont="1" applyFill="1" applyBorder="1" applyAlignment="1">
      <alignment horizontal="right" vertical="top"/>
    </xf>
    <xf numFmtId="167" fontId="31" fillId="2" borderId="0" xfId="1" quotePrefix="1" applyNumberFormat="1" applyFont="1" applyFill="1" applyBorder="1" applyAlignment="1">
      <alignment horizontal="right" vertical="top"/>
    </xf>
    <xf numFmtId="166" fontId="31" fillId="2" borderId="0" xfId="1" quotePrefix="1" applyFont="1" applyFill="1" applyBorder="1" applyAlignment="1">
      <alignment horizontal="right" vertical="top"/>
    </xf>
    <xf numFmtId="166" fontId="30" fillId="2" borderId="0" xfId="1" applyFont="1" applyFill="1" applyBorder="1" applyAlignment="1">
      <alignment horizontal="right" vertical="top"/>
    </xf>
    <xf numFmtId="167" fontId="30" fillId="2" borderId="0" xfId="0" applyNumberFormat="1" applyFont="1" applyFill="1" applyAlignment="1">
      <alignment horizontal="center" vertical="top"/>
    </xf>
    <xf numFmtId="167" fontId="30" fillId="2" borderId="0" xfId="0" applyNumberFormat="1" applyFont="1" applyFill="1" applyAlignment="1">
      <alignment horizontal="right" vertical="top"/>
    </xf>
    <xf numFmtId="0" fontId="31" fillId="2" borderId="0" xfId="0" applyFont="1" applyFill="1" applyAlignment="1">
      <alignment vertical="top"/>
    </xf>
    <xf numFmtId="0" fontId="30" fillId="2" borderId="0" xfId="0" applyFont="1" applyFill="1" applyAlignment="1">
      <alignment horizontal="right" vertical="top"/>
    </xf>
    <xf numFmtId="166" fontId="31" fillId="2" borderId="0" xfId="1" applyFont="1" applyFill="1" applyBorder="1" applyAlignment="1">
      <alignment horizontal="right" vertical="top"/>
    </xf>
    <xf numFmtId="0" fontId="31" fillId="2" borderId="0" xfId="0" applyFont="1" applyFill="1" applyAlignment="1">
      <alignment horizontal="right" vertical="top"/>
    </xf>
    <xf numFmtId="165" fontId="31" fillId="2" borderId="0" xfId="0" applyNumberFormat="1" applyFont="1" applyFill="1"/>
    <xf numFmtId="0" fontId="29" fillId="0" borderId="0" xfId="0" applyFont="1"/>
    <xf numFmtId="166" fontId="29" fillId="0" borderId="0" xfId="1" applyFont="1" applyFill="1"/>
    <xf numFmtId="0" fontId="31" fillId="2" borderId="0" xfId="0" applyFont="1" applyFill="1" applyAlignment="1">
      <alignment horizontal="left" indent="5"/>
    </xf>
    <xf numFmtId="17" fontId="30" fillId="2" borderId="0" xfId="0" quotePrefix="1" applyNumberFormat="1" applyFont="1" applyFill="1" applyAlignment="1">
      <alignment horizontal="center"/>
    </xf>
    <xf numFmtId="167" fontId="31" fillId="2" borderId="0" xfId="1" applyNumberFormat="1" applyFont="1" applyFill="1" applyAlignment="1">
      <alignment horizontal="right"/>
    </xf>
    <xf numFmtId="166" fontId="31" fillId="2" borderId="0" xfId="1" applyFont="1" applyFill="1" applyAlignment="1">
      <alignment horizontal="right"/>
    </xf>
    <xf numFmtId="167" fontId="30" fillId="2" borderId="0" xfId="1" applyNumberFormat="1" applyFont="1" applyFill="1" applyBorder="1" applyAlignment="1">
      <alignment horizontal="right"/>
    </xf>
    <xf numFmtId="167" fontId="31" fillId="2" borderId="0" xfId="0" applyNumberFormat="1" applyFont="1" applyFill="1"/>
    <xf numFmtId="167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right"/>
    </xf>
    <xf numFmtId="167" fontId="30" fillId="2" borderId="0" xfId="0" applyNumberFormat="1" applyFont="1" applyFill="1" applyAlignment="1">
      <alignment horizontal="center"/>
    </xf>
    <xf numFmtId="167" fontId="31" fillId="0" borderId="0" xfId="1" applyNumberFormat="1" applyFont="1"/>
    <xf numFmtId="167" fontId="31" fillId="0" borderId="0" xfId="1" applyNumberFormat="1" applyFont="1" applyFill="1" applyAlignment="1">
      <alignment horizontal="right"/>
    </xf>
    <xf numFmtId="0" fontId="32" fillId="0" borderId="0" xfId="0" applyFont="1" applyAlignment="1">
      <alignment horizontal="justify" vertical="center"/>
    </xf>
    <xf numFmtId="0" fontId="33" fillId="0" borderId="0" xfId="0" applyFont="1" applyAlignment="1">
      <alignment horizontal="justify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0" fontId="24" fillId="0" borderId="0" xfId="0" applyFont="1" applyAlignment="1">
      <alignment vertical="center"/>
    </xf>
    <xf numFmtId="165" fontId="24" fillId="0" borderId="0" xfId="0" applyNumberFormat="1" applyFont="1"/>
    <xf numFmtId="166" fontId="24" fillId="0" borderId="0" xfId="1" applyFont="1" applyFill="1"/>
    <xf numFmtId="0" fontId="24" fillId="2" borderId="1" xfId="0" quotePrefix="1" applyFont="1" applyFill="1" applyBorder="1" applyAlignment="1">
      <alignment horizontal="center" vertical="center"/>
    </xf>
    <xf numFmtId="0" fontId="24" fillId="2" borderId="1" xfId="0" quotePrefix="1" applyFont="1" applyFill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30" fillId="2" borderId="2" xfId="0" quotePrefix="1" applyFont="1" applyFill="1" applyBorder="1" applyAlignment="1">
      <alignment horizontal="center"/>
    </xf>
    <xf numFmtId="167" fontId="31" fillId="2" borderId="0" xfId="1" applyNumberFormat="1" applyFont="1" applyFill="1" applyBorder="1" applyAlignment="1">
      <alignment horizontal="center" vertical="top"/>
    </xf>
    <xf numFmtId="167" fontId="31" fillId="0" borderId="0" xfId="1" applyNumberFormat="1" applyFont="1" applyFill="1" applyBorder="1" applyAlignment="1">
      <alignment horizontal="right"/>
    </xf>
    <xf numFmtId="166" fontId="31" fillId="0" borderId="0" xfId="1" applyFont="1" applyFill="1" applyBorder="1" applyAlignment="1">
      <alignment horizontal="right"/>
    </xf>
    <xf numFmtId="0" fontId="35" fillId="2" borderId="5" xfId="0" applyFont="1" applyFill="1" applyBorder="1" applyAlignment="1">
      <alignment horizontal="left"/>
    </xf>
    <xf numFmtId="0" fontId="23" fillId="4" borderId="3" xfId="0" applyFont="1" applyFill="1" applyBorder="1"/>
    <xf numFmtId="0" fontId="23" fillId="4" borderId="4" xfId="0" applyFont="1" applyFill="1" applyBorder="1"/>
    <xf numFmtId="167" fontId="31" fillId="0" borderId="0" xfId="0" applyNumberFormat="1" applyFont="1"/>
    <xf numFmtId="0" fontId="23" fillId="0" borderId="3" xfId="0" applyFont="1" applyBorder="1" applyAlignment="1">
      <alignment horizontal="left"/>
    </xf>
    <xf numFmtId="0" fontId="37" fillId="0" borderId="0" xfId="0" applyFont="1" applyAlignment="1">
      <alignment horizontal="justify" vertical="center"/>
    </xf>
    <xf numFmtId="0" fontId="37" fillId="0" borderId="0" xfId="0" applyFont="1" applyAlignment="1">
      <alignment horizontal="center" vertical="center" wrapText="1"/>
    </xf>
    <xf numFmtId="165" fontId="38" fillId="0" borderId="0" xfId="0" applyNumberFormat="1" applyFont="1"/>
    <xf numFmtId="0" fontId="39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170" fontId="41" fillId="0" borderId="0" xfId="2" applyNumberFormat="1" applyFont="1"/>
    <xf numFmtId="170" fontId="11" fillId="0" borderId="13" xfId="2" applyNumberFormat="1" applyFont="1" applyBorder="1"/>
    <xf numFmtId="0" fontId="13" fillId="3" borderId="0" xfId="0" applyFont="1" applyFill="1"/>
    <xf numFmtId="170" fontId="41" fillId="3" borderId="0" xfId="2" applyNumberFormat="1" applyFont="1" applyFill="1"/>
    <xf numFmtId="167" fontId="31" fillId="0" borderId="0" xfId="1" applyNumberFormat="1" applyFont="1" applyFill="1" applyBorder="1" applyAlignment="1">
      <alignment horizontal="right" vertical="top"/>
    </xf>
    <xf numFmtId="167" fontId="31" fillId="0" borderId="0" xfId="1" quotePrefix="1" applyNumberFormat="1" applyFont="1" applyFill="1" applyBorder="1" applyAlignment="1">
      <alignment horizontal="right" vertical="top"/>
    </xf>
    <xf numFmtId="0" fontId="30" fillId="0" borderId="0" xfId="0" applyFont="1" applyAlignment="1">
      <alignment vertical="top"/>
    </xf>
    <xf numFmtId="167" fontId="30" fillId="0" borderId="0" xfId="1" applyNumberFormat="1" applyFont="1" applyFill="1" applyBorder="1" applyAlignment="1">
      <alignment horizontal="right" vertical="top"/>
    </xf>
    <xf numFmtId="166" fontId="30" fillId="0" borderId="0" xfId="1" applyFont="1" applyFill="1" applyBorder="1" applyAlignment="1">
      <alignment horizontal="right" vertical="top"/>
    </xf>
    <xf numFmtId="166" fontId="31" fillId="0" borderId="0" xfId="1" applyFont="1" applyFill="1" applyBorder="1"/>
    <xf numFmtId="0" fontId="34" fillId="0" borderId="0" xfId="0" applyFont="1"/>
    <xf numFmtId="0" fontId="30" fillId="0" borderId="0" xfId="0" applyFont="1" applyAlignment="1">
      <alignment horizontal="right"/>
    </xf>
    <xf numFmtId="166" fontId="12" fillId="0" borderId="0" xfId="1" applyFont="1" applyFill="1" applyBorder="1" applyAlignment="1"/>
    <xf numFmtId="0" fontId="36" fillId="0" borderId="4" xfId="0" applyFont="1" applyBorder="1" applyAlignment="1">
      <alignment horizontal="left"/>
    </xf>
    <xf numFmtId="0" fontId="24" fillId="0" borderId="1" xfId="0" quotePrefix="1" applyFont="1" applyBorder="1" applyAlignment="1">
      <alignment horizontal="center"/>
    </xf>
    <xf numFmtId="0" fontId="23" fillId="0" borderId="5" xfId="0" applyFont="1" applyBorder="1" applyAlignment="1">
      <alignment horizontal="left"/>
    </xf>
    <xf numFmtId="165" fontId="24" fillId="0" borderId="1" xfId="0" applyNumberFormat="1" applyFont="1" applyBorder="1"/>
    <xf numFmtId="0" fontId="23" fillId="2" borderId="2" xfId="0" applyFont="1" applyFill="1" applyBorder="1"/>
    <xf numFmtId="166" fontId="23" fillId="2" borderId="12" xfId="0" applyNumberFormat="1" applyFont="1" applyFill="1" applyBorder="1"/>
    <xf numFmtId="165" fontId="23" fillId="2" borderId="12" xfId="0" applyNumberFormat="1" applyFont="1" applyFill="1" applyBorder="1"/>
    <xf numFmtId="166" fontId="23" fillId="2" borderId="12" xfId="1" applyFont="1" applyFill="1" applyBorder="1"/>
    <xf numFmtId="166" fontId="24" fillId="2" borderId="14" xfId="1" applyFont="1" applyFill="1" applyBorder="1" applyAlignment="1"/>
    <xf numFmtId="0" fontId="24" fillId="2" borderId="15" xfId="0" applyFont="1" applyFill="1" applyBorder="1" applyAlignment="1">
      <alignment vertical="top"/>
    </xf>
    <xf numFmtId="0" fontId="24" fillId="2" borderId="16" xfId="0" applyFont="1" applyFill="1" applyBorder="1"/>
    <xf numFmtId="165" fontId="24" fillId="2" borderId="17" xfId="0" applyNumberFormat="1" applyFont="1" applyFill="1" applyBorder="1" applyAlignment="1">
      <alignment horizontal="center" vertical="center"/>
    </xf>
    <xf numFmtId="167" fontId="29" fillId="0" borderId="0" xfId="1" quotePrefix="1" applyNumberFormat="1" applyFont="1" applyFill="1" applyBorder="1" applyAlignment="1">
      <alignment horizontal="right" vertical="top"/>
    </xf>
    <xf numFmtId="43" fontId="23" fillId="0" borderId="0" xfId="0" applyNumberFormat="1" applyFont="1"/>
    <xf numFmtId="165" fontId="24" fillId="0" borderId="0" xfId="0" applyNumberFormat="1" applyFont="1" applyAlignment="1">
      <alignment horizontal="center"/>
    </xf>
    <xf numFmtId="0" fontId="24" fillId="0" borderId="3" xfId="0" applyFont="1" applyBorder="1"/>
    <xf numFmtId="0" fontId="24" fillId="0" borderId="4" xfId="0" applyFont="1" applyBorder="1"/>
    <xf numFmtId="0" fontId="24" fillId="0" borderId="5" xfId="0" applyFont="1" applyBorder="1"/>
    <xf numFmtId="0" fontId="25" fillId="0" borderId="0" xfId="0" applyFont="1"/>
    <xf numFmtId="165" fontId="25" fillId="0" borderId="0" xfId="0" applyNumberFormat="1" applyFont="1"/>
    <xf numFmtId="165" fontId="24" fillId="0" borderId="0" xfId="1" applyNumberFormat="1" applyFont="1" applyFill="1" applyBorder="1"/>
    <xf numFmtId="0" fontId="24" fillId="0" borderId="15" xfId="0" applyFont="1" applyBorder="1" applyAlignment="1">
      <alignment vertical="top"/>
    </xf>
    <xf numFmtId="0" fontId="24" fillId="0" borderId="16" xfId="0" applyFont="1" applyBorder="1"/>
    <xf numFmtId="165" fontId="24" fillId="0" borderId="17" xfId="0" applyNumberFormat="1" applyFont="1" applyBorder="1" applyAlignment="1">
      <alignment horizontal="center" vertical="center"/>
    </xf>
    <xf numFmtId="0" fontId="23" fillId="0" borderId="2" xfId="0" applyFont="1" applyBorder="1"/>
    <xf numFmtId="166" fontId="23" fillId="0" borderId="12" xfId="1" applyFont="1" applyFill="1" applyBorder="1"/>
    <xf numFmtId="0" fontId="24" fillId="0" borderId="1" xfId="0" quotePrefix="1" applyFont="1" applyBorder="1" applyAlignment="1">
      <alignment horizontal="center" vertical="center"/>
    </xf>
    <xf numFmtId="0" fontId="24" fillId="0" borderId="16" xfId="0" applyFont="1" applyBorder="1" applyAlignment="1">
      <alignment horizontal="center" wrapText="1"/>
    </xf>
    <xf numFmtId="0" fontId="24" fillId="2" borderId="16" xfId="0" applyFont="1" applyFill="1" applyBorder="1" applyAlignment="1">
      <alignment horizontal="center" wrapText="1"/>
    </xf>
    <xf numFmtId="167" fontId="31" fillId="2" borderId="12" xfId="1" applyNumberFormat="1" applyFont="1" applyFill="1" applyBorder="1" applyAlignment="1">
      <alignment horizontal="right"/>
    </xf>
    <xf numFmtId="167" fontId="31" fillId="0" borderId="12" xfId="1" applyNumberFormat="1" applyFont="1" applyFill="1" applyBorder="1" applyAlignment="1">
      <alignment horizontal="right"/>
    </xf>
    <xf numFmtId="167" fontId="30" fillId="2" borderId="14" xfId="1" applyNumberFormat="1" applyFont="1" applyFill="1" applyBorder="1" applyAlignment="1">
      <alignment horizontal="right"/>
    </xf>
    <xf numFmtId="167" fontId="31" fillId="2" borderId="12" xfId="1" applyNumberFormat="1" applyFont="1" applyFill="1" applyBorder="1" applyAlignment="1">
      <alignment horizontal="right" vertical="top"/>
    </xf>
    <xf numFmtId="167" fontId="31" fillId="0" borderId="12" xfId="1" quotePrefix="1" applyNumberFormat="1" applyFont="1" applyFill="1" applyBorder="1" applyAlignment="1">
      <alignment horizontal="right" vertical="top"/>
    </xf>
    <xf numFmtId="167" fontId="30" fillId="2" borderId="13" xfId="1" applyNumberFormat="1" applyFont="1" applyFill="1" applyBorder="1" applyAlignment="1">
      <alignment vertical="top"/>
    </xf>
    <xf numFmtId="167" fontId="30" fillId="2" borderId="4" xfId="0" applyNumberFormat="1" applyFont="1" applyFill="1" applyBorder="1" applyAlignment="1">
      <alignment horizontal="right"/>
    </xf>
    <xf numFmtId="167" fontId="31" fillId="2" borderId="12" xfId="1" applyNumberFormat="1" applyFont="1" applyFill="1" applyBorder="1"/>
    <xf numFmtId="170" fontId="11" fillId="0" borderId="0" xfId="2" applyNumberFormat="1" applyFont="1"/>
    <xf numFmtId="170" fontId="41" fillId="0" borderId="12" xfId="2" applyNumberFormat="1" applyFont="1" applyBorder="1"/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6" fillId="0" borderId="0" xfId="0" applyFont="1" applyAlignment="1">
      <alignment horizontal="left" vertical="center"/>
    </xf>
    <xf numFmtId="0" fontId="44" fillId="0" borderId="0" xfId="0" applyFont="1"/>
    <xf numFmtId="0" fontId="46" fillId="0" borderId="0" xfId="0" applyFont="1" applyAlignment="1">
      <alignment horizontal="left" vertical="center" indent="4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164" fontId="47" fillId="0" borderId="0" xfId="0" applyNumberFormat="1" applyFont="1"/>
    <xf numFmtId="164" fontId="47" fillId="0" borderId="0" xfId="0" applyNumberFormat="1" applyFont="1" applyAlignment="1">
      <alignment horizontal="left" vertical="center" indent="5"/>
    </xf>
    <xf numFmtId="164" fontId="47" fillId="0" borderId="0" xfId="0" applyNumberFormat="1" applyFont="1" applyAlignment="1">
      <alignment vertical="center"/>
    </xf>
    <xf numFmtId="166" fontId="44" fillId="0" borderId="0" xfId="1" applyFont="1" applyBorder="1" applyAlignment="1">
      <alignment vertical="center"/>
    </xf>
    <xf numFmtId="165" fontId="45" fillId="0" borderId="0" xfId="0" applyNumberFormat="1" applyFont="1" applyAlignment="1">
      <alignment vertical="center"/>
    </xf>
    <xf numFmtId="0" fontId="47" fillId="0" borderId="0" xfId="0" applyFont="1"/>
    <xf numFmtId="0" fontId="45" fillId="0" borderId="0" xfId="0" applyFont="1"/>
    <xf numFmtId="164" fontId="44" fillId="0" borderId="0" xfId="0" applyNumberFormat="1" applyFont="1" applyAlignment="1">
      <alignment vertical="center"/>
    </xf>
    <xf numFmtId="164" fontId="47" fillId="0" borderId="12" xfId="0" applyNumberFormat="1" applyFont="1" applyBorder="1"/>
    <xf numFmtId="167" fontId="47" fillId="0" borderId="12" xfId="1" applyNumberFormat="1" applyFont="1" applyBorder="1" applyAlignment="1">
      <alignment horizontal="center" vertical="center" wrapText="1"/>
    </xf>
    <xf numFmtId="164" fontId="43" fillId="0" borderId="0" xfId="0" applyNumberFormat="1" applyFont="1"/>
    <xf numFmtId="164" fontId="43" fillId="0" borderId="0" xfId="0" applyNumberFormat="1" applyFont="1" applyAlignment="1">
      <alignment horizontal="left" vertical="center" indent="5"/>
    </xf>
    <xf numFmtId="164" fontId="43" fillId="0" borderId="0" xfId="0" applyNumberFormat="1" applyFont="1" applyAlignment="1">
      <alignment vertical="center"/>
    </xf>
    <xf numFmtId="0" fontId="47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3" fontId="47" fillId="0" borderId="12" xfId="0" applyNumberFormat="1" applyFont="1" applyBorder="1" applyAlignment="1">
      <alignment vertical="center"/>
    </xf>
    <xf numFmtId="164" fontId="43" fillId="0" borderId="13" xfId="0" applyNumberFormat="1" applyFont="1" applyBorder="1" applyAlignment="1">
      <alignment vertical="center"/>
    </xf>
    <xf numFmtId="164" fontId="49" fillId="0" borderId="0" xfId="0" applyNumberFormat="1" applyFont="1" applyAlignment="1">
      <alignment horizontal="left" vertical="center" indent="4"/>
    </xf>
    <xf numFmtId="170" fontId="43" fillId="0" borderId="13" xfId="0" applyNumberFormat="1" applyFont="1" applyBorder="1" applyAlignment="1">
      <alignment vertical="center"/>
    </xf>
    <xf numFmtId="164" fontId="43" fillId="0" borderId="13" xfId="0" applyNumberFormat="1" applyFont="1" applyBorder="1" applyAlignment="1">
      <alignment horizontal="right"/>
    </xf>
    <xf numFmtId="164" fontId="44" fillId="0" borderId="0" xfId="0" applyNumberFormat="1" applyFont="1"/>
    <xf numFmtId="0" fontId="48" fillId="2" borderId="0" xfId="0" applyFont="1" applyFill="1"/>
    <xf numFmtId="0" fontId="48" fillId="2" borderId="0" xfId="0" applyFont="1" applyFill="1" applyAlignment="1">
      <alignment horizontal="center"/>
    </xf>
    <xf numFmtId="166" fontId="23" fillId="2" borderId="0" xfId="1" applyFont="1" applyFill="1" applyAlignment="1"/>
    <xf numFmtId="165" fontId="44" fillId="0" borderId="0" xfId="0" applyNumberFormat="1" applyFont="1" applyAlignment="1">
      <alignment vertical="center"/>
    </xf>
    <xf numFmtId="164" fontId="43" fillId="0" borderId="13" xfId="0" applyNumberFormat="1" applyFont="1" applyBorder="1"/>
    <xf numFmtId="0" fontId="24" fillId="2" borderId="3" xfId="0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  <xf numFmtId="0" fontId="24" fillId="2" borderId="5" xfId="0" applyFont="1" applyFill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left"/>
    </xf>
    <xf numFmtId="0" fontId="1" fillId="0" borderId="0" xfId="0" applyFont="1"/>
    <xf numFmtId="166" fontId="1" fillId="0" borderId="0" xfId="1" applyFont="1" applyBorder="1"/>
    <xf numFmtId="0" fontId="12" fillId="0" borderId="0" xfId="0" applyFont="1" applyAlignment="1">
      <alignment horizontal="left" vertical="center"/>
    </xf>
    <xf numFmtId="0" fontId="23" fillId="2" borderId="9" xfId="0" applyFont="1" applyFill="1" applyBorder="1"/>
    <xf numFmtId="0" fontId="23" fillId="2" borderId="18" xfId="0" applyFont="1" applyFill="1" applyBorder="1"/>
    <xf numFmtId="0" fontId="23" fillId="2" borderId="10" xfId="0" applyFont="1" applyFill="1" applyBorder="1"/>
    <xf numFmtId="0" fontId="23" fillId="2" borderId="19" xfId="0" applyFont="1" applyFill="1" applyBorder="1" applyAlignment="1">
      <alignment horizontal="left"/>
    </xf>
    <xf numFmtId="0" fontId="23" fillId="2" borderId="20" xfId="0" applyFont="1" applyFill="1" applyBorder="1" applyAlignment="1">
      <alignment horizontal="left"/>
    </xf>
    <xf numFmtId="170" fontId="12" fillId="0" borderId="0" xfId="0" applyNumberFormat="1" applyFont="1"/>
    <xf numFmtId="165" fontId="23" fillId="2" borderId="1" xfId="1" applyNumberFormat="1" applyFont="1" applyFill="1" applyBorder="1"/>
    <xf numFmtId="0" fontId="31" fillId="2" borderId="0" xfId="0" applyFont="1" applyFill="1" applyAlignment="1">
      <alignment vertical="top" wrapText="1"/>
    </xf>
    <xf numFmtId="0" fontId="50" fillId="0" borderId="3" xfId="0" applyFont="1" applyBorder="1" applyAlignment="1">
      <alignment horizontal="left"/>
    </xf>
    <xf numFmtId="0" fontId="50" fillId="0" borderId="4" xfId="0" applyFont="1" applyBorder="1" applyAlignment="1">
      <alignment horizontal="left"/>
    </xf>
    <xf numFmtId="0" fontId="50" fillId="0" borderId="5" xfId="0" applyFont="1" applyBorder="1" applyAlignment="1">
      <alignment horizontal="left"/>
    </xf>
    <xf numFmtId="165" fontId="23" fillId="2" borderId="5" xfId="0" applyNumberFormat="1" applyFont="1" applyFill="1" applyBorder="1" applyAlignment="1">
      <alignment horizontal="right"/>
    </xf>
    <xf numFmtId="165" fontId="23" fillId="2" borderId="1" xfId="0" applyNumberFormat="1" applyFont="1" applyFill="1" applyBorder="1" applyAlignment="1">
      <alignment horizontal="right"/>
    </xf>
    <xf numFmtId="166" fontId="23" fillId="2" borderId="1" xfId="1" applyFont="1" applyFill="1" applyBorder="1" applyAlignment="1">
      <alignment horizontal="right" vertical="center" wrapText="1"/>
    </xf>
    <xf numFmtId="165" fontId="24" fillId="2" borderId="1" xfId="0" applyNumberFormat="1" applyFont="1" applyFill="1" applyBorder="1" applyAlignment="1">
      <alignment horizontal="right"/>
    </xf>
    <xf numFmtId="166" fontId="24" fillId="2" borderId="0" xfId="1" applyFont="1" applyFill="1" applyBorder="1" applyAlignment="1"/>
    <xf numFmtId="0" fontId="45" fillId="2" borderId="0" xfId="0" applyFont="1" applyFill="1" applyAlignment="1">
      <alignment horizontal="left"/>
    </xf>
    <xf numFmtId="165" fontId="30" fillId="2" borderId="0" xfId="0" applyNumberFormat="1" applyFont="1" applyFill="1" applyAlignment="1">
      <alignment horizontal="center"/>
    </xf>
    <xf numFmtId="167" fontId="30" fillId="2" borderId="0" xfId="1" applyNumberFormat="1" applyFont="1" applyFill="1" applyBorder="1" applyAlignment="1">
      <alignment vertical="top"/>
    </xf>
    <xf numFmtId="165" fontId="23" fillId="0" borderId="1" xfId="0" applyNumberFormat="1" applyFont="1" applyBorder="1"/>
    <xf numFmtId="0" fontId="24" fillId="0" borderId="1" xfId="0" applyFont="1" applyBorder="1" applyAlignment="1">
      <alignment horizontal="center"/>
    </xf>
    <xf numFmtId="166" fontId="1" fillId="0" borderId="0" xfId="1" applyFont="1"/>
    <xf numFmtId="166" fontId="30" fillId="0" borderId="0" xfId="1" applyFont="1" applyFill="1"/>
    <xf numFmtId="166" fontId="31" fillId="0" borderId="12" xfId="1" applyFont="1" applyFill="1" applyBorder="1"/>
    <xf numFmtId="0" fontId="51" fillId="0" borderId="0" xfId="0" applyFont="1"/>
    <xf numFmtId="166" fontId="23" fillId="2" borderId="5" xfId="1" applyFont="1" applyFill="1" applyBorder="1" applyAlignment="1">
      <alignment horizontal="center" vertical="center"/>
    </xf>
    <xf numFmtId="165" fontId="23" fillId="2" borderId="12" xfId="0" applyNumberFormat="1" applyFont="1" applyFill="1" applyBorder="1" applyAlignment="1">
      <alignment horizontal="center"/>
    </xf>
    <xf numFmtId="43" fontId="36" fillId="0" borderId="0" xfId="0" applyNumberFormat="1" applyFont="1"/>
    <xf numFmtId="166" fontId="23" fillId="0" borderId="0" xfId="1" applyFont="1" applyAlignment="1"/>
    <xf numFmtId="0" fontId="31" fillId="3" borderId="0" xfId="0" applyFont="1" applyFill="1"/>
    <xf numFmtId="167" fontId="31" fillId="0" borderId="12" xfId="1" applyNumberFormat="1" applyFont="1" applyFill="1" applyBorder="1" applyAlignment="1">
      <alignment horizontal="right" vertical="top"/>
    </xf>
    <xf numFmtId="166" fontId="2" fillId="0" borderId="0" xfId="1" applyFont="1"/>
    <xf numFmtId="165" fontId="23" fillId="0" borderId="0" xfId="0" quotePrefix="1" applyNumberFormat="1" applyFont="1" applyAlignment="1">
      <alignment horizontal="center"/>
    </xf>
    <xf numFmtId="165" fontId="23" fillId="0" borderId="7" xfId="0" quotePrefix="1" applyNumberFormat="1" applyFont="1" applyBorder="1" applyAlignment="1">
      <alignment horizontal="center"/>
    </xf>
    <xf numFmtId="165" fontId="23" fillId="2" borderId="4" xfId="0" applyNumberFormat="1" applyFont="1" applyFill="1" applyBorder="1"/>
    <xf numFmtId="0" fontId="50" fillId="0" borderId="0" xfId="0" applyFont="1" applyAlignment="1">
      <alignment horizontal="left" vertical="center"/>
    </xf>
    <xf numFmtId="165" fontId="50" fillId="0" borderId="0" xfId="0" applyNumberFormat="1" applyFont="1"/>
    <xf numFmtId="0" fontId="50" fillId="0" borderId="0" xfId="0" applyFont="1"/>
    <xf numFmtId="166" fontId="50" fillId="0" borderId="0" xfId="1" applyFont="1" applyFill="1"/>
    <xf numFmtId="0" fontId="50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3" fontId="31" fillId="0" borderId="0" xfId="0" applyNumberFormat="1" applyFont="1"/>
    <xf numFmtId="4" fontId="31" fillId="3" borderId="0" xfId="0" applyNumberFormat="1" applyFont="1" applyFill="1"/>
    <xf numFmtId="0" fontId="50" fillId="0" borderId="9" xfId="0" applyFont="1" applyBorder="1" applyAlignment="1">
      <alignment horizontal="left"/>
    </xf>
    <xf numFmtId="0" fontId="50" fillId="0" borderId="18" xfId="0" applyFont="1" applyBorder="1" applyAlignment="1">
      <alignment horizontal="left"/>
    </xf>
    <xf numFmtId="0" fontId="50" fillId="0" borderId="10" xfId="0" applyFont="1" applyBorder="1" applyAlignment="1">
      <alignment horizontal="left"/>
    </xf>
    <xf numFmtId="166" fontId="23" fillId="2" borderId="0" xfId="1" applyFont="1" applyFill="1" applyBorder="1"/>
    <xf numFmtId="166" fontId="24" fillId="0" borderId="12" xfId="1" applyFont="1" applyFill="1" applyBorder="1"/>
    <xf numFmtId="166" fontId="23" fillId="0" borderId="0" xfId="0" applyNumberFormat="1" applyFont="1"/>
    <xf numFmtId="166" fontId="24" fillId="2" borderId="1" xfId="1" quotePrefix="1" applyFont="1" applyFill="1" applyBorder="1" applyAlignment="1">
      <alignment horizontal="center"/>
    </xf>
    <xf numFmtId="166" fontId="23" fillId="0" borderId="0" xfId="1" applyFont="1"/>
    <xf numFmtId="43" fontId="23" fillId="0" borderId="0" xfId="0" applyNumberFormat="1" applyFont="1" applyAlignment="1">
      <alignment horizontal="left"/>
    </xf>
    <xf numFmtId="166" fontId="23" fillId="0" borderId="0" xfId="1" applyFont="1" applyAlignment="1">
      <alignment horizontal="right"/>
    </xf>
    <xf numFmtId="43" fontId="31" fillId="0" borderId="0" xfId="0" applyNumberFormat="1" applyFont="1"/>
    <xf numFmtId="165" fontId="23" fillId="2" borderId="7" xfId="0" applyNumberFormat="1" applyFont="1" applyFill="1" applyBorder="1" applyAlignment="1">
      <alignment horizontal="right"/>
    </xf>
    <xf numFmtId="166" fontId="6" fillId="2" borderId="0" xfId="1" applyFont="1" applyFill="1"/>
    <xf numFmtId="43" fontId="48" fillId="2" borderId="0" xfId="0" applyNumberFormat="1" applyFont="1" applyFill="1"/>
    <xf numFmtId="169" fontId="16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3" fontId="31" fillId="3" borderId="0" xfId="0" applyNumberFormat="1" applyFont="1" applyFill="1"/>
    <xf numFmtId="167" fontId="31" fillId="3" borderId="0" xfId="0" applyNumberFormat="1" applyFont="1" applyFill="1"/>
    <xf numFmtId="17" fontId="23" fillId="2" borderId="0" xfId="0" applyNumberFormat="1" applyFont="1" applyFill="1" applyAlignment="1">
      <alignment horizontal="left"/>
    </xf>
    <xf numFmtId="165" fontId="23" fillId="2" borderId="12" xfId="0" quotePrefix="1" applyNumberFormat="1" applyFont="1" applyFill="1" applyBorder="1" applyAlignment="1">
      <alignment horizontal="center"/>
    </xf>
    <xf numFmtId="165" fontId="24" fillId="2" borderId="12" xfId="0" quotePrefix="1" applyNumberFormat="1" applyFont="1" applyFill="1" applyBorder="1" applyAlignment="1">
      <alignment horizontal="center"/>
    </xf>
    <xf numFmtId="166" fontId="30" fillId="0" borderId="0" xfId="1" applyFont="1" applyFill="1" applyBorder="1"/>
    <xf numFmtId="165" fontId="48" fillId="2" borderId="0" xfId="0" applyNumberFormat="1" applyFont="1" applyFill="1"/>
    <xf numFmtId="166" fontId="51" fillId="0" borderId="0" xfId="1" applyFont="1" applyFill="1"/>
    <xf numFmtId="0" fontId="53" fillId="0" borderId="0" xfId="0" applyFont="1" applyAlignment="1">
      <alignment vertical="center"/>
    </xf>
    <xf numFmtId="0" fontId="53" fillId="0" borderId="0" xfId="0" applyFont="1"/>
    <xf numFmtId="0" fontId="53" fillId="0" borderId="0" xfId="0" applyFont="1" applyAlignment="1">
      <alignment horizontal="left" vertical="center"/>
    </xf>
    <xf numFmtId="166" fontId="13" fillId="0" borderId="0" xfId="1" applyFont="1" applyFill="1" applyBorder="1" applyAlignme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50" fillId="0" borderId="3" xfId="0" applyFont="1" applyBorder="1" applyAlignment="1">
      <alignment horizontal="left"/>
    </xf>
    <xf numFmtId="0" fontId="50" fillId="0" borderId="4" xfId="0" applyFont="1" applyBorder="1" applyAlignment="1">
      <alignment horizontal="left"/>
    </xf>
    <xf numFmtId="0" fontId="50" fillId="0" borderId="5" xfId="0" applyFont="1" applyBorder="1" applyAlignment="1">
      <alignment horizontal="left"/>
    </xf>
    <xf numFmtId="0" fontId="30" fillId="2" borderId="0" xfId="0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0" fontId="50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24" fillId="2" borderId="3" xfId="0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  <xf numFmtId="0" fontId="24" fillId="2" borderId="5" xfId="0" applyFont="1" applyFill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4" fillId="2" borderId="0" xfId="0" applyFont="1" applyFill="1" applyAlignment="1">
      <alignment horizontal="center"/>
    </xf>
    <xf numFmtId="0" fontId="23" fillId="0" borderId="3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5" xfId="0" applyFont="1" applyBorder="1" applyAlignment="1">
      <alignment horizontal="left"/>
    </xf>
    <xf numFmtId="0" fontId="50" fillId="0" borderId="9" xfId="0" applyFont="1" applyBorder="1" applyAlignment="1">
      <alignment horizontal="left"/>
    </xf>
    <xf numFmtId="0" fontId="50" fillId="0" borderId="18" xfId="0" applyFont="1" applyBorder="1" applyAlignment="1">
      <alignment horizontal="left"/>
    </xf>
    <xf numFmtId="0" fontId="50" fillId="0" borderId="10" xfId="0" applyFont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left"/>
    </xf>
    <xf numFmtId="0" fontId="23" fillId="0" borderId="3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23" fillId="0" borderId="0" xfId="0" applyFont="1" applyAlignment="1">
      <alignment horizontal="left"/>
    </xf>
    <xf numFmtId="0" fontId="24" fillId="2" borderId="3" xfId="0" applyFont="1" applyFill="1" applyBorder="1" applyAlignment="1">
      <alignment horizontal="left" wrapText="1"/>
    </xf>
    <xf numFmtId="0" fontId="24" fillId="2" borderId="4" xfId="0" applyFont="1" applyFill="1" applyBorder="1" applyAlignment="1">
      <alignment horizontal="left" wrapText="1"/>
    </xf>
    <xf numFmtId="0" fontId="24" fillId="2" borderId="5" xfId="0" applyFont="1" applyFill="1" applyBorder="1" applyAlignment="1">
      <alignment horizontal="left" wrapText="1"/>
    </xf>
    <xf numFmtId="0" fontId="31" fillId="2" borderId="0" xfId="0" applyFont="1" applyFill="1" applyAlignment="1">
      <alignment horizontal="left"/>
    </xf>
    <xf numFmtId="0" fontId="30" fillId="0" borderId="0" xfId="0" applyFont="1" applyAlignment="1">
      <alignment horizontal="center"/>
    </xf>
    <xf numFmtId="0" fontId="18" fillId="2" borderId="0" xfId="0" applyFont="1" applyFill="1" applyAlignment="1">
      <alignment horizontal="left"/>
    </xf>
    <xf numFmtId="0" fontId="30" fillId="2" borderId="0" xfId="0" applyFont="1" applyFill="1" applyAlignment="1">
      <alignment horizontal="center" wrapText="1"/>
    </xf>
    <xf numFmtId="0" fontId="30" fillId="0" borderId="0" xfId="0" applyFont="1" applyAlignment="1">
      <alignment horizontal="center" wrapText="1"/>
    </xf>
    <xf numFmtId="0" fontId="43" fillId="0" borderId="0" xfId="0" applyFont="1" applyAlignment="1">
      <alignment horizontal="center" vertical="center"/>
    </xf>
    <xf numFmtId="0" fontId="42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1" fillId="0" borderId="12" xfId="2" applyFont="1" applyBorder="1" applyAlignment="1">
      <alignment horizontal="center"/>
    </xf>
    <xf numFmtId="43" fontId="9" fillId="0" borderId="7" xfId="1" applyNumberFormat="1" applyFont="1" applyBorder="1" applyAlignment="1">
      <alignment horizontal="center"/>
    </xf>
    <xf numFmtId="43" fontId="9" fillId="0" borderId="11" xfId="1" applyNumberFormat="1" applyFont="1" applyBorder="1" applyAlignment="1">
      <alignment horizontal="center"/>
    </xf>
    <xf numFmtId="43" fontId="10" fillId="0" borderId="7" xfId="1" applyNumberFormat="1" applyFont="1" applyBorder="1" applyAlignment="1">
      <alignment horizontal="center"/>
    </xf>
    <xf numFmtId="43" fontId="10" fillId="0" borderId="11" xfId="1" applyNumberFormat="1" applyFont="1" applyBorder="1" applyAlignment="1">
      <alignment horizontal="center"/>
    </xf>
    <xf numFmtId="43" fontId="4" fillId="0" borderId="7" xfId="1" applyNumberFormat="1" applyFont="1" applyBorder="1" applyAlignment="1">
      <alignment horizontal="center"/>
    </xf>
    <xf numFmtId="43" fontId="4" fillId="0" borderId="11" xfId="1" applyNumberFormat="1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4" fillId="0" borderId="7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2686050</xdr:colOff>
      <xdr:row>30</xdr:row>
      <xdr:rowOff>0</xdr:rowOff>
    </xdr:from>
    <xdr:ext cx="76200" cy="2012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686050" y="5219700"/>
          <a:ext cx="76200" cy="201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0</xdr:colOff>
      <xdr:row>0</xdr:row>
      <xdr:rowOff>0</xdr:rowOff>
    </xdr:from>
    <xdr:to>
      <xdr:col>0</xdr:col>
      <xdr:colOff>1363979</xdr:colOff>
      <xdr:row>4</xdr:row>
      <xdr:rowOff>121084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979" cy="764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279798</xdr:colOff>
      <xdr:row>45</xdr:row>
      <xdr:rowOff>83343</xdr:rowOff>
    </xdr:from>
    <xdr:to>
      <xdr:col>3</xdr:col>
      <xdr:colOff>377270</xdr:colOff>
      <xdr:row>54</xdr:row>
      <xdr:rowOff>89772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E4290F-7977-C41B-09F5-A36A148E4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4548" y="7364015"/>
          <a:ext cx="1389300" cy="1464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628650</xdr:colOff>
      <xdr:row>30</xdr:row>
      <xdr:rowOff>57150</xdr:rowOff>
    </xdr:from>
    <xdr:to>
      <xdr:col>3</xdr:col>
      <xdr:colOff>704850</xdr:colOff>
      <xdr:row>31</xdr:row>
      <xdr:rowOff>78741</xdr:rowOff>
    </xdr:to>
    <xdr:sp macro="" textlink="">
      <xdr:nvSpPr>
        <xdr:cNvPr id="2601" name="Text Box 6">
          <a:extLst>
            <a:ext uri="{FF2B5EF4-FFF2-40B4-BE49-F238E27FC236}">
              <a16:creationId xmlns:a16="http://schemas.microsoft.com/office/drawing/2014/main" id="{00000000-0008-0000-0100-0000290A0000}"/>
            </a:ext>
          </a:extLst>
        </xdr:cNvPr>
        <xdr:cNvSpPr txBox="1">
          <a:spLocks noChangeArrowheads="1"/>
        </xdr:cNvSpPr>
      </xdr:nvSpPr>
      <xdr:spPr bwMode="auto">
        <a:xfrm>
          <a:off x="6219825" y="4219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30</xdr:row>
      <xdr:rowOff>66675</xdr:rowOff>
    </xdr:from>
    <xdr:to>
      <xdr:col>4</xdr:col>
      <xdr:colOff>76200</xdr:colOff>
      <xdr:row>31</xdr:row>
      <xdr:rowOff>88266</xdr:rowOff>
    </xdr:to>
    <xdr:sp macro="" textlink="">
      <xdr:nvSpPr>
        <xdr:cNvPr id="2602" name="Text Box 7">
          <a:extLst>
            <a:ext uri="{FF2B5EF4-FFF2-40B4-BE49-F238E27FC236}">
              <a16:creationId xmlns:a16="http://schemas.microsoft.com/office/drawing/2014/main" id="{00000000-0008-0000-0100-00002A0A0000}"/>
            </a:ext>
          </a:extLst>
        </xdr:cNvPr>
        <xdr:cNvSpPr txBox="1">
          <a:spLocks noChangeArrowheads="1"/>
        </xdr:cNvSpPr>
      </xdr:nvSpPr>
      <xdr:spPr bwMode="auto">
        <a:xfrm>
          <a:off x="6810375" y="4229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685800</xdr:colOff>
      <xdr:row>30</xdr:row>
      <xdr:rowOff>66675</xdr:rowOff>
    </xdr:from>
    <xdr:to>
      <xdr:col>3</xdr:col>
      <xdr:colOff>762000</xdr:colOff>
      <xdr:row>31</xdr:row>
      <xdr:rowOff>88266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00000000-0008-0000-0100-00002B0A0000}"/>
            </a:ext>
          </a:extLst>
        </xdr:cNvPr>
        <xdr:cNvSpPr txBox="1">
          <a:spLocks noChangeArrowheads="1"/>
        </xdr:cNvSpPr>
      </xdr:nvSpPr>
      <xdr:spPr bwMode="auto">
        <a:xfrm>
          <a:off x="6276975" y="4229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342900</xdr:colOff>
      <xdr:row>52</xdr:row>
      <xdr:rowOff>60960</xdr:rowOff>
    </xdr:from>
    <xdr:to>
      <xdr:col>0</xdr:col>
      <xdr:colOff>3136900</xdr:colOff>
      <xdr:row>56</xdr:row>
      <xdr:rowOff>44450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342900" y="6675120"/>
          <a:ext cx="2794000" cy="6845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2491740</xdr:colOff>
      <xdr:row>59</xdr:row>
      <xdr:rowOff>0</xdr:rowOff>
    </xdr:from>
    <xdr:to>
      <xdr:col>1</xdr:col>
      <xdr:colOff>1211580</xdr:colOff>
      <xdr:row>63</xdr:row>
      <xdr:rowOff>68580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491740" y="7840980"/>
          <a:ext cx="2918460" cy="7696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52</xdr:row>
      <xdr:rowOff>30480</xdr:rowOff>
    </xdr:from>
    <xdr:to>
      <xdr:col>3</xdr:col>
      <xdr:colOff>1206500</xdr:colOff>
      <xdr:row>56</xdr:row>
      <xdr:rowOff>83820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4198620" y="6644640"/>
          <a:ext cx="2745740" cy="7543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Joaquin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1</xdr:row>
      <xdr:rowOff>0</xdr:rowOff>
    </xdr:from>
    <xdr:to>
      <xdr:col>0</xdr:col>
      <xdr:colOff>1539241</xdr:colOff>
      <xdr:row>5</xdr:row>
      <xdr:rowOff>39369</xdr:rowOff>
    </xdr:to>
    <xdr:pic>
      <xdr:nvPicPr>
        <xdr:cNvPr id="10" name="Imagen 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7640"/>
          <a:ext cx="1539240" cy="702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595313</xdr:colOff>
      <xdr:row>31</xdr:row>
      <xdr:rowOff>130969</xdr:rowOff>
    </xdr:from>
    <xdr:to>
      <xdr:col>3</xdr:col>
      <xdr:colOff>478473</xdr:colOff>
      <xdr:row>40</xdr:row>
      <xdr:rowOff>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442C18-8C83-4988-8128-CB771D129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9157" y="5262563"/>
          <a:ext cx="1389300" cy="1464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41</xdr:row>
      <xdr:rowOff>114300</xdr:rowOff>
    </xdr:from>
    <xdr:to>
      <xdr:col>0</xdr:col>
      <xdr:colOff>2921000</xdr:colOff>
      <xdr:row>46</xdr:row>
      <xdr:rowOff>88900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861060" y="7658100"/>
          <a:ext cx="2844800" cy="8509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1661160</xdr:colOff>
      <xdr:row>47</xdr:row>
      <xdr:rowOff>144780</xdr:rowOff>
    </xdr:from>
    <xdr:to>
      <xdr:col>1</xdr:col>
      <xdr:colOff>1417320</xdr:colOff>
      <xdr:row>52</xdr:row>
      <xdr:rowOff>99060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2446020" y="8740140"/>
          <a:ext cx="3063240" cy="8305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  <a:endParaRPr lang="es-DO" sz="8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472440</xdr:colOff>
      <xdr:row>41</xdr:row>
      <xdr:rowOff>129540</xdr:rowOff>
    </xdr:from>
    <xdr:to>
      <xdr:col>3</xdr:col>
      <xdr:colOff>1333500</xdr:colOff>
      <xdr:row>46</xdr:row>
      <xdr:rowOff>91440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4564380" y="7673340"/>
          <a:ext cx="2674620" cy="838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Joaquin Elías  Jiménez </a:t>
          </a: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  <a:endParaRPr lang="es-DO" sz="8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0</xdr:row>
      <xdr:rowOff>1</xdr:rowOff>
    </xdr:from>
    <xdr:to>
      <xdr:col>0</xdr:col>
      <xdr:colOff>1211581</xdr:colOff>
      <xdr:row>5</xdr:row>
      <xdr:rowOff>98123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211580" cy="974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1343132</xdr:colOff>
      <xdr:row>38</xdr:row>
      <xdr:rowOff>80267</xdr:rowOff>
    </xdr:from>
    <xdr:to>
      <xdr:col>3</xdr:col>
      <xdr:colOff>629440</xdr:colOff>
      <xdr:row>61</xdr:row>
      <xdr:rowOff>89706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84FF04-C953-4B4C-BD5B-F230D3F1A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0056" y="6549775"/>
          <a:ext cx="1389300" cy="1464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25</xdr:row>
      <xdr:rowOff>129540</xdr:rowOff>
    </xdr:from>
    <xdr:to>
      <xdr:col>3</xdr:col>
      <xdr:colOff>50800</xdr:colOff>
      <xdr:row>30</xdr:row>
      <xdr:rowOff>44450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831850" y="4377690"/>
          <a:ext cx="2730500" cy="7086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107950</xdr:colOff>
      <xdr:row>25</xdr:row>
      <xdr:rowOff>152400</xdr:rowOff>
    </xdr:from>
    <xdr:to>
      <xdr:col>13</xdr:col>
      <xdr:colOff>88900</xdr:colOff>
      <xdr:row>30</xdr:row>
      <xdr:rowOff>91440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5350510" y="4404360"/>
          <a:ext cx="3318510" cy="7772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Joaquín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2095500</xdr:colOff>
      <xdr:row>32</xdr:row>
      <xdr:rowOff>69850</xdr:rowOff>
    </xdr:from>
    <xdr:to>
      <xdr:col>10</xdr:col>
      <xdr:colOff>640080</xdr:colOff>
      <xdr:row>36</xdr:row>
      <xdr:rowOff>146050</xdr:rowOff>
    </xdr:to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3063240" y="5495290"/>
          <a:ext cx="3505200" cy="746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30481</xdr:colOff>
      <xdr:row>0</xdr:row>
      <xdr:rowOff>0</xdr:rowOff>
    </xdr:from>
    <xdr:to>
      <xdr:col>2</xdr:col>
      <xdr:colOff>1352550</xdr:colOff>
      <xdr:row>3</xdr:row>
      <xdr:rowOff>144804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1" y="0"/>
          <a:ext cx="1503044" cy="859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30480</xdr:colOff>
      <xdr:row>40</xdr:row>
      <xdr:rowOff>25400</xdr:rowOff>
    </xdr:from>
    <xdr:to>
      <xdr:col>0</xdr:col>
      <xdr:colOff>2682240</xdr:colOff>
      <xdr:row>45</xdr:row>
      <xdr:rowOff>22860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30480" y="8651240"/>
          <a:ext cx="2651760" cy="873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11</xdr:col>
      <xdr:colOff>0</xdr:colOff>
      <xdr:row>38</xdr:row>
      <xdr:rowOff>0</xdr:rowOff>
    </xdr:from>
    <xdr:to>
      <xdr:col>12</xdr:col>
      <xdr:colOff>693975</xdr:colOff>
      <xdr:row>44</xdr:row>
      <xdr:rowOff>140970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0FF4EF-003B-467C-A557-4B1D13511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7534275"/>
          <a:ext cx="1389300" cy="14649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25</xdr:row>
      <xdr:rowOff>15240</xdr:rowOff>
    </xdr:from>
    <xdr:to>
      <xdr:col>3</xdr:col>
      <xdr:colOff>312420</xdr:colOff>
      <xdr:row>29</xdr:row>
      <xdr:rowOff>160020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350520" y="4168140"/>
          <a:ext cx="2788920" cy="8153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60960</xdr:colOff>
      <xdr:row>25</xdr:row>
      <xdr:rowOff>15241</xdr:rowOff>
    </xdr:from>
    <xdr:to>
      <xdr:col>6</xdr:col>
      <xdr:colOff>939800</xdr:colOff>
      <xdr:row>29</xdr:row>
      <xdr:rowOff>121921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4198620" y="4168141"/>
          <a:ext cx="3088640" cy="7772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Joaquín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1607820</xdr:colOff>
      <xdr:row>31</xdr:row>
      <xdr:rowOff>106680</xdr:rowOff>
    </xdr:from>
    <xdr:to>
      <xdr:col>4</xdr:col>
      <xdr:colOff>1226820</xdr:colOff>
      <xdr:row>36</xdr:row>
      <xdr:rowOff>152400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2240280" y="5265420"/>
          <a:ext cx="3124200" cy="883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0</xdr:row>
      <xdr:rowOff>0</xdr:rowOff>
    </xdr:from>
    <xdr:to>
      <xdr:col>2</xdr:col>
      <xdr:colOff>662941</xdr:colOff>
      <xdr:row>5</xdr:row>
      <xdr:rowOff>17781</xdr:rowOff>
    </xdr:to>
    <xdr:pic>
      <xdr:nvPicPr>
        <xdr:cNvPr id="10" name="Imagen 5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295400" cy="901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609600</xdr:colOff>
      <xdr:row>23</xdr:row>
      <xdr:rowOff>133350</xdr:rowOff>
    </xdr:from>
    <xdr:to>
      <xdr:col>6</xdr:col>
      <xdr:colOff>1046400</xdr:colOff>
      <xdr:row>47</xdr:row>
      <xdr:rowOff>17145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706F01-5F0C-46C4-85A9-AB9075893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4419600"/>
          <a:ext cx="1389300" cy="14649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515937</xdr:colOff>
      <xdr:row>3</xdr:row>
      <xdr:rowOff>129540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49375" cy="933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548640</xdr:colOff>
      <xdr:row>4</xdr:row>
      <xdr:rowOff>154941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5400" cy="901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1389300</xdr:colOff>
      <xdr:row>38</xdr:row>
      <xdr:rowOff>131445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1381F90-9675-4718-B741-F97F90218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4629150"/>
          <a:ext cx="1389300" cy="1464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zoomScale="160" zoomScaleNormal="160" workbookViewId="0">
      <selection sqref="A1:XFD1048576"/>
    </sheetView>
  </sheetViews>
  <sheetFormatPr baseColWidth="10" defaultColWidth="11.5703125" defaultRowHeight="12.75" x14ac:dyDescent="0.2"/>
  <cols>
    <col min="1" max="1" width="55.7109375" style="95" customWidth="1"/>
    <col min="2" max="2" width="17.42578125" style="95" bestFit="1" customWidth="1"/>
    <col min="3" max="3" width="2" style="95" customWidth="1"/>
    <col min="4" max="4" width="16.7109375" style="95" customWidth="1"/>
    <col min="5" max="5" width="7.85546875" style="95" customWidth="1"/>
    <col min="6" max="6" width="15.28515625" style="95" hidden="1" customWidth="1"/>
    <col min="7" max="7" width="14.140625" style="95" hidden="1" customWidth="1"/>
    <col min="8" max="8" width="13.7109375" style="95" hidden="1" customWidth="1"/>
    <col min="9" max="9" width="14.7109375" style="95" hidden="1" customWidth="1"/>
    <col min="10" max="10" width="11.5703125" style="95" hidden="1" customWidth="1"/>
    <col min="11" max="11" width="12.5703125" style="95" hidden="1" customWidth="1"/>
    <col min="12" max="12" width="17.42578125" style="95" hidden="1" customWidth="1"/>
    <col min="13" max="253" width="9.28515625" style="95" customWidth="1"/>
    <col min="254" max="16384" width="11.5703125" style="95"/>
  </cols>
  <sheetData>
    <row r="1" spans="1:10" x14ac:dyDescent="0.2">
      <c r="A1" s="94" t="s">
        <v>5</v>
      </c>
      <c r="B1" s="94"/>
      <c r="C1" s="94"/>
      <c r="D1" s="94"/>
      <c r="E1" s="94"/>
    </row>
    <row r="2" spans="1:10" x14ac:dyDescent="0.2">
      <c r="A2" s="94"/>
      <c r="B2" s="94"/>
      <c r="C2" s="94"/>
      <c r="D2" s="94"/>
      <c r="E2" s="94"/>
    </row>
    <row r="3" spans="1:10" x14ac:dyDescent="0.2">
      <c r="A3" s="94"/>
      <c r="B3" s="94"/>
      <c r="C3" s="94"/>
      <c r="D3" s="94"/>
      <c r="E3" s="94"/>
    </row>
    <row r="4" spans="1:10" x14ac:dyDescent="0.2">
      <c r="A4" s="94"/>
      <c r="B4" s="94"/>
      <c r="C4" s="94"/>
      <c r="D4" s="94"/>
      <c r="E4" s="94"/>
    </row>
    <row r="5" spans="1:10" x14ac:dyDescent="0.2">
      <c r="A5" s="94"/>
      <c r="B5" s="94"/>
      <c r="C5" s="94"/>
      <c r="D5" s="94"/>
      <c r="E5" s="94"/>
    </row>
    <row r="6" spans="1:10" x14ac:dyDescent="0.2">
      <c r="A6" s="346" t="s">
        <v>297</v>
      </c>
      <c r="B6" s="346"/>
      <c r="C6" s="346"/>
      <c r="D6" s="346"/>
      <c r="E6" s="346"/>
    </row>
    <row r="7" spans="1:10" x14ac:dyDescent="0.2">
      <c r="A7" s="346" t="s">
        <v>186</v>
      </c>
      <c r="B7" s="346"/>
      <c r="C7" s="346"/>
      <c r="D7" s="346"/>
      <c r="E7" s="346"/>
    </row>
    <row r="8" spans="1:10" x14ac:dyDescent="0.2">
      <c r="A8" s="346" t="s">
        <v>481</v>
      </c>
      <c r="B8" s="346"/>
      <c r="C8" s="346"/>
      <c r="D8" s="346"/>
      <c r="E8" s="346"/>
      <c r="F8" s="94"/>
    </row>
    <row r="9" spans="1:10" x14ac:dyDescent="0.2">
      <c r="A9" s="346" t="s">
        <v>6</v>
      </c>
      <c r="B9" s="346"/>
      <c r="C9" s="346"/>
      <c r="D9" s="346"/>
      <c r="E9" s="346"/>
    </row>
    <row r="10" spans="1:10" ht="13.5" thickBot="1" x14ac:dyDescent="0.25">
      <c r="A10" s="97"/>
      <c r="B10" s="154">
        <v>2026</v>
      </c>
      <c r="C10" s="94"/>
      <c r="D10" s="154">
        <v>2025</v>
      </c>
      <c r="H10" s="119" t="s">
        <v>429</v>
      </c>
      <c r="I10" s="119" t="s">
        <v>503</v>
      </c>
      <c r="J10" s="119" t="s">
        <v>504</v>
      </c>
    </row>
    <row r="11" spans="1:10" x14ac:dyDescent="0.2">
      <c r="A11" s="96" t="s">
        <v>187</v>
      </c>
      <c r="B11" s="97"/>
      <c r="C11" s="97"/>
      <c r="D11" s="97"/>
    </row>
    <row r="12" spans="1:10" x14ac:dyDescent="0.2">
      <c r="A12" s="96" t="s">
        <v>188</v>
      </c>
      <c r="B12" s="97"/>
      <c r="C12" s="97"/>
      <c r="D12" s="97"/>
    </row>
    <row r="13" spans="1:10" x14ac:dyDescent="0.2">
      <c r="A13" s="97" t="s">
        <v>189</v>
      </c>
      <c r="B13" s="135">
        <f>+'NOTAS '!F143</f>
        <v>99864866.979999989</v>
      </c>
      <c r="C13" s="136"/>
      <c r="D13" s="135">
        <f>+'NOTAS '!H143</f>
        <v>138858094.35999998</v>
      </c>
      <c r="E13" s="98"/>
      <c r="J13" s="194"/>
    </row>
    <row r="14" spans="1:10" x14ac:dyDescent="0.2">
      <c r="A14" s="97" t="s">
        <v>190</v>
      </c>
      <c r="B14" s="135">
        <f>+'NOTAS '!F161</f>
        <v>4754924.8099999996</v>
      </c>
      <c r="C14" s="136"/>
      <c r="D14" s="135">
        <f>+'NOTAS '!H161</f>
        <v>3273793.08</v>
      </c>
      <c r="G14" s="161"/>
      <c r="H14" s="311">
        <v>2346100</v>
      </c>
      <c r="I14" s="311"/>
    </row>
    <row r="15" spans="1:10" x14ac:dyDescent="0.2">
      <c r="A15" s="97" t="s">
        <v>191</v>
      </c>
      <c r="B15" s="135">
        <f>+'NOTAS '!F174</f>
        <v>2559893.33</v>
      </c>
      <c r="C15" s="136"/>
      <c r="D15" s="135">
        <f>+'NOTAS '!H174</f>
        <v>2488262.4</v>
      </c>
      <c r="G15" s="161"/>
    </row>
    <row r="16" spans="1:10" x14ac:dyDescent="0.2">
      <c r="A16" s="97" t="s">
        <v>192</v>
      </c>
      <c r="B16" s="211">
        <f>+'NOTAS '!F187</f>
        <v>3225292.81</v>
      </c>
      <c r="C16" s="100"/>
      <c r="D16" s="211">
        <f>+'NOTAS '!H187</f>
        <v>1631208.02</v>
      </c>
    </row>
    <row r="17" spans="1:11" x14ac:dyDescent="0.2">
      <c r="A17" s="96" t="s">
        <v>193</v>
      </c>
      <c r="B17" s="137">
        <f>SUM(B13:B16)</f>
        <v>110404977.92999999</v>
      </c>
      <c r="C17" s="100"/>
      <c r="D17" s="137">
        <f>SUM(D13:D16)</f>
        <v>146251357.86000001</v>
      </c>
      <c r="G17" s="161"/>
    </row>
    <row r="18" spans="1:11" x14ac:dyDescent="0.2">
      <c r="A18" s="96"/>
      <c r="B18" s="140"/>
      <c r="C18" s="140"/>
      <c r="D18" s="140"/>
    </row>
    <row r="19" spans="1:11" x14ac:dyDescent="0.2">
      <c r="A19" s="96" t="s">
        <v>194</v>
      </c>
      <c r="B19" s="140"/>
      <c r="C19" s="140"/>
      <c r="D19" s="140"/>
    </row>
    <row r="20" spans="1:11" x14ac:dyDescent="0.2">
      <c r="A20" s="97" t="s">
        <v>195</v>
      </c>
      <c r="B20" s="99">
        <f>+'NOTAS '!F200</f>
        <v>4232626.24</v>
      </c>
      <c r="C20" s="100"/>
      <c r="D20" s="99">
        <f>+'NOTAS '!H200</f>
        <v>6391125.4699999997</v>
      </c>
      <c r="F20" s="102">
        <f>+D20-B20</f>
        <v>2158499.2299999995</v>
      </c>
      <c r="G20" s="299" t="s">
        <v>401</v>
      </c>
      <c r="H20" s="312">
        <v>6600850</v>
      </c>
      <c r="I20" s="312">
        <v>4386242</v>
      </c>
      <c r="J20" s="329">
        <f>+I20-B20</f>
        <v>153615.75999999978</v>
      </c>
      <c r="K20" s="330" t="s">
        <v>401</v>
      </c>
    </row>
    <row r="21" spans="1:11" x14ac:dyDescent="0.2">
      <c r="A21" s="97" t="s">
        <v>323</v>
      </c>
      <c r="B21" s="99">
        <f>+'NOTAS '!F244</f>
        <v>26332687.690000009</v>
      </c>
      <c r="C21" s="100"/>
      <c r="D21" s="99">
        <f>+'NOTAS '!F260</f>
        <v>20678574.170000006</v>
      </c>
    </row>
    <row r="22" spans="1:11" x14ac:dyDescent="0.2">
      <c r="A22" s="97" t="s">
        <v>324</v>
      </c>
      <c r="B22" s="212">
        <f>+'NOTAS '!F270</f>
        <v>8</v>
      </c>
      <c r="C22" s="157"/>
      <c r="D22" s="212">
        <f>+'NOTAS '!H270</f>
        <v>25</v>
      </c>
    </row>
    <row r="23" spans="1:11" x14ac:dyDescent="0.2">
      <c r="A23" s="96" t="s">
        <v>196</v>
      </c>
      <c r="B23" s="137">
        <f>SUM(B20:B22)</f>
        <v>30565321.930000007</v>
      </c>
      <c r="C23" s="101"/>
      <c r="D23" s="137">
        <f>SUM(D20:D22)</f>
        <v>27069724.640000004</v>
      </c>
    </row>
    <row r="24" spans="1:11" ht="13.5" thickBot="1" x14ac:dyDescent="0.25">
      <c r="A24" s="96" t="s">
        <v>197</v>
      </c>
      <c r="B24" s="213">
        <f>+B17+B23</f>
        <v>140970299.86000001</v>
      </c>
      <c r="C24" s="101"/>
      <c r="D24" s="213">
        <f>+D17+D23</f>
        <v>173321082.50000003</v>
      </c>
      <c r="F24" s="102"/>
    </row>
    <row r="25" spans="1:11" ht="13.5" thickTop="1" x14ac:dyDescent="0.2">
      <c r="A25" s="96"/>
      <c r="B25" s="137"/>
      <c r="C25" s="101"/>
      <c r="D25" s="137"/>
      <c r="F25" s="102"/>
    </row>
    <row r="26" spans="1:11" x14ac:dyDescent="0.2">
      <c r="A26" s="96" t="s">
        <v>198</v>
      </c>
      <c r="B26" s="138"/>
      <c r="C26" s="97"/>
      <c r="D26" s="97"/>
      <c r="F26" s="102"/>
    </row>
    <row r="27" spans="1:11" x14ac:dyDescent="0.2">
      <c r="A27" s="96" t="s">
        <v>199</v>
      </c>
      <c r="B27" s="138"/>
      <c r="C27" s="97"/>
      <c r="D27" s="138"/>
    </row>
    <row r="28" spans="1:11" x14ac:dyDescent="0.2">
      <c r="A28" s="97" t="s">
        <v>325</v>
      </c>
      <c r="B28" s="99">
        <f>+'NOTAS '!F281</f>
        <v>26292167.350000001</v>
      </c>
      <c r="C28" s="100"/>
      <c r="D28" s="99">
        <f>+'NOTAS '!H281</f>
        <v>16163593.01</v>
      </c>
      <c r="F28" s="161"/>
      <c r="G28" s="161"/>
      <c r="H28" s="311">
        <v>13286893</v>
      </c>
      <c r="I28" s="311"/>
      <c r="J28" s="311"/>
    </row>
    <row r="29" spans="1:11" x14ac:dyDescent="0.2">
      <c r="A29" s="97" t="s">
        <v>326</v>
      </c>
      <c r="B29" s="99">
        <f>+'NOTAS '!F363</f>
        <v>2655608.89</v>
      </c>
      <c r="C29" s="104"/>
      <c r="D29" s="99">
        <f>+'NOTAS '!H363</f>
        <v>373820.1</v>
      </c>
    </row>
    <row r="30" spans="1:11" x14ac:dyDescent="0.2">
      <c r="A30" s="97" t="s">
        <v>327</v>
      </c>
      <c r="B30" s="211">
        <f>+'NOTAS '!F377</f>
        <v>23311559.150000002</v>
      </c>
      <c r="C30" s="104"/>
      <c r="D30" s="211">
        <f>+'NOTAS '!H377</f>
        <v>20861889.649999999</v>
      </c>
    </row>
    <row r="31" spans="1:11" x14ac:dyDescent="0.2">
      <c r="A31" s="96" t="s">
        <v>200</v>
      </c>
      <c r="B31" s="105">
        <f>SUM(B28:B30)</f>
        <v>52259335.390000001</v>
      </c>
      <c r="C31" s="103"/>
      <c r="D31" s="105">
        <f>SUM(D28:D30)</f>
        <v>37399302.759999998</v>
      </c>
      <c r="G31" s="161"/>
    </row>
    <row r="32" spans="1:11" x14ac:dyDescent="0.2">
      <c r="A32" s="97"/>
      <c r="B32" s="139"/>
      <c r="C32" s="140"/>
      <c r="D32" s="139"/>
    </row>
    <row r="33" spans="1:12" x14ac:dyDescent="0.2">
      <c r="A33" s="96" t="s">
        <v>201</v>
      </c>
      <c r="B33" s="139"/>
      <c r="C33" s="140"/>
      <c r="D33" s="139"/>
    </row>
    <row r="34" spans="1:12" x14ac:dyDescent="0.2">
      <c r="A34" s="97" t="s">
        <v>369</v>
      </c>
      <c r="B34" s="99">
        <f>+'NOTAS '!F390</f>
        <v>4228461.3</v>
      </c>
      <c r="C34" s="140"/>
      <c r="D34" s="99">
        <f>+'NOTAS '!H390</f>
        <v>6471146.4299999997</v>
      </c>
      <c r="F34" s="102">
        <f>+B34-D34</f>
        <v>-2242685.13</v>
      </c>
      <c r="G34" s="299" t="s">
        <v>401</v>
      </c>
      <c r="H34" s="312">
        <v>6753971</v>
      </c>
      <c r="I34" s="312">
        <v>4382078</v>
      </c>
      <c r="J34" s="329">
        <f>+B34-I34</f>
        <v>-153616.70000000019</v>
      </c>
      <c r="K34" s="299" t="s">
        <v>401</v>
      </c>
    </row>
    <row r="35" spans="1:12" x14ac:dyDescent="0.2">
      <c r="A35" s="97" t="s">
        <v>322</v>
      </c>
      <c r="B35" s="211">
        <f>+'NOTAS '!F403</f>
        <v>4049462.42</v>
      </c>
      <c r="C35" s="100"/>
      <c r="D35" s="211">
        <f>+'NOTAS '!H403</f>
        <v>10499512.310000001</v>
      </c>
      <c r="F35" s="98">
        <f>SUM(F20:F34)</f>
        <v>-84185.900000000373</v>
      </c>
    </row>
    <row r="36" spans="1:12" x14ac:dyDescent="0.2">
      <c r="A36" s="96" t="s">
        <v>202</v>
      </c>
      <c r="B36" s="217">
        <f>SUM(B34:B35)</f>
        <v>8277923.7199999997</v>
      </c>
      <c r="C36" s="140"/>
      <c r="D36" s="217">
        <f>SUM(D34:D35)</f>
        <v>16970658.740000002</v>
      </c>
      <c r="G36" s="161"/>
      <c r="J36" s="311">
        <f>SUM(J20:J34)</f>
        <v>-0.94000000040978193</v>
      </c>
    </row>
    <row r="37" spans="1:12" x14ac:dyDescent="0.2">
      <c r="A37" s="96" t="s">
        <v>203</v>
      </c>
      <c r="B37" s="105">
        <f>+B31+B36</f>
        <v>60537259.109999999</v>
      </c>
      <c r="C37" s="105"/>
      <c r="D37" s="105">
        <f>+D31+D36</f>
        <v>54369961.5</v>
      </c>
    </row>
    <row r="38" spans="1:12" x14ac:dyDescent="0.2">
      <c r="A38" s="96"/>
      <c r="B38" s="105"/>
      <c r="C38" s="105"/>
      <c r="D38" s="105"/>
    </row>
    <row r="39" spans="1:12" x14ac:dyDescent="0.2">
      <c r="A39" s="96" t="s">
        <v>321</v>
      </c>
      <c r="B39" s="139"/>
      <c r="C39" s="140"/>
      <c r="D39" s="139"/>
    </row>
    <row r="40" spans="1:12" x14ac:dyDescent="0.2">
      <c r="A40" s="97" t="s">
        <v>58</v>
      </c>
      <c r="B40" s="99">
        <f>+'NOTAS '!F415</f>
        <v>46598840.5</v>
      </c>
      <c r="C40" s="99">
        <f>+'NOTAS '!G415</f>
        <v>0</v>
      </c>
      <c r="D40" s="99">
        <f>+'NOTAS '!H415</f>
        <v>46598840.5</v>
      </c>
    </row>
    <row r="41" spans="1:12" x14ac:dyDescent="0.2">
      <c r="A41" s="95" t="s">
        <v>204</v>
      </c>
      <c r="B41" s="156">
        <f>+'NOTAS '!F416</f>
        <v>-6944358.0599999996</v>
      </c>
      <c r="C41" s="157"/>
      <c r="D41" s="156">
        <f>+'NOTAS '!H416</f>
        <v>-17400947.41</v>
      </c>
    </row>
    <row r="42" spans="1:12" x14ac:dyDescent="0.2">
      <c r="A42" s="97" t="s">
        <v>60</v>
      </c>
      <c r="B42" s="211">
        <f>+'NOTAS '!F417</f>
        <v>40778558.289999999</v>
      </c>
      <c r="C42" s="100"/>
      <c r="D42" s="211">
        <f>+'NOTAS '!H417</f>
        <v>89753228.00999999</v>
      </c>
      <c r="L42" s="161"/>
    </row>
    <row r="43" spans="1:12" x14ac:dyDescent="0.2">
      <c r="A43" s="96" t="s">
        <v>205</v>
      </c>
      <c r="B43" s="137">
        <f>SUM(B40:B42)</f>
        <v>80433040.729999989</v>
      </c>
      <c r="C43" s="101"/>
      <c r="D43" s="137">
        <f>SUM(D40:D42)</f>
        <v>118951121.09999999</v>
      </c>
    </row>
    <row r="44" spans="1:12" x14ac:dyDescent="0.2">
      <c r="A44" s="97"/>
      <c r="B44" s="137"/>
      <c r="C44" s="101"/>
      <c r="D44" s="137"/>
    </row>
    <row r="45" spans="1:12" ht="13.5" thickBot="1" x14ac:dyDescent="0.25">
      <c r="A45" s="96" t="s">
        <v>206</v>
      </c>
      <c r="B45" s="213">
        <f>+B37+B43</f>
        <v>140970299.83999997</v>
      </c>
      <c r="C45" s="103"/>
      <c r="D45" s="213">
        <f>+D37+D43</f>
        <v>173321082.59999999</v>
      </c>
      <c r="L45" s="102"/>
    </row>
    <row r="46" spans="1:12" ht="13.5" thickTop="1" x14ac:dyDescent="0.2">
      <c r="A46" s="94"/>
      <c r="B46" s="287"/>
      <c r="C46" s="94"/>
      <c r="D46" s="287"/>
      <c r="L46" s="102"/>
    </row>
    <row r="47" spans="1:12" x14ac:dyDescent="0.2">
      <c r="A47" s="346"/>
      <c r="B47" s="346"/>
      <c r="C47" s="346"/>
      <c r="D47" s="346"/>
      <c r="L47" s="323"/>
    </row>
    <row r="48" spans="1:12" x14ac:dyDescent="0.2">
      <c r="A48" s="110"/>
      <c r="B48" s="97"/>
      <c r="C48" s="97"/>
      <c r="D48" s="97"/>
    </row>
    <row r="49" spans="1:4" x14ac:dyDescent="0.2">
      <c r="A49" s="373" t="s">
        <v>328</v>
      </c>
      <c r="B49" s="373"/>
      <c r="C49" s="373"/>
      <c r="D49" s="373"/>
    </row>
    <row r="50" spans="1:4" x14ac:dyDescent="0.2">
      <c r="A50" s="94"/>
      <c r="B50" s="94"/>
      <c r="C50" s="94"/>
      <c r="D50" s="94"/>
    </row>
    <row r="51" spans="1:4" x14ac:dyDescent="0.2">
      <c r="A51" s="346"/>
      <c r="B51" s="346"/>
      <c r="C51" s="346"/>
      <c r="D51" s="346"/>
    </row>
    <row r="52" spans="1:4" x14ac:dyDescent="0.2">
      <c r="A52" s="347"/>
      <c r="B52" s="347"/>
      <c r="C52" s="347"/>
      <c r="D52" s="347"/>
    </row>
    <row r="53" spans="1:4" x14ac:dyDescent="0.2">
      <c r="A53" s="106"/>
      <c r="B53" s="97"/>
      <c r="C53" s="97"/>
      <c r="D53" s="97"/>
    </row>
    <row r="54" spans="1:4" x14ac:dyDescent="0.2">
      <c r="A54" s="107"/>
      <c r="B54" s="108"/>
      <c r="C54" s="107"/>
      <c r="D54" s="108"/>
    </row>
    <row r="55" spans="1:4" x14ac:dyDescent="0.2">
      <c r="A55" s="107"/>
      <c r="B55" s="109"/>
      <c r="C55" s="107"/>
      <c r="D55" s="108"/>
    </row>
    <row r="56" spans="1:4" x14ac:dyDescent="0.2">
      <c r="A56" s="110"/>
      <c r="B56" s="110"/>
      <c r="C56" s="97"/>
      <c r="D56" s="97"/>
    </row>
    <row r="57" spans="1:4" x14ac:dyDescent="0.2">
      <c r="A57" s="110"/>
      <c r="B57" s="97"/>
      <c r="C57" s="97"/>
      <c r="D57" s="97"/>
    </row>
    <row r="58" spans="1:4" x14ac:dyDescent="0.2">
      <c r="A58" s="110"/>
      <c r="B58" s="97"/>
      <c r="C58" s="97"/>
      <c r="D58" s="97"/>
    </row>
    <row r="61" spans="1:4" x14ac:dyDescent="0.2">
      <c r="B61" s="111"/>
    </row>
  </sheetData>
  <mergeCells count="8">
    <mergeCell ref="A51:D51"/>
    <mergeCell ref="A52:D52"/>
    <mergeCell ref="A49:D49"/>
    <mergeCell ref="A6:E6"/>
    <mergeCell ref="A7:E7"/>
    <mergeCell ref="A8:E8"/>
    <mergeCell ref="A9:E9"/>
    <mergeCell ref="A47:D47"/>
  </mergeCells>
  <pageMargins left="1.2204724409448819" right="0.70866141732283472" top="1.1023622047244095" bottom="0.74803149606299213" header="0.51181102362204722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</sheetPr>
  <dimension ref="A1:I70"/>
  <sheetViews>
    <sheetView tabSelected="1" view="pageBreakPreview" zoomScale="160" zoomScaleNormal="100" zoomScaleSheetLayoutView="160" workbookViewId="0">
      <selection sqref="A1:XFD1048576"/>
    </sheetView>
  </sheetViews>
  <sheetFormatPr baseColWidth="10" defaultColWidth="11.5703125" defaultRowHeight="12.75" x14ac:dyDescent="0.2"/>
  <cols>
    <col min="1" max="1" width="61.28515625" style="95" customWidth="1"/>
    <col min="2" max="2" width="19.28515625" style="95" customWidth="1"/>
    <col min="3" max="3" width="3.28515625" style="95" customWidth="1"/>
    <col min="4" max="4" width="18.28515625" style="95" customWidth="1"/>
    <col min="5" max="5" width="9.28515625" style="95" customWidth="1"/>
    <col min="6" max="6" width="17.5703125" style="95" bestFit="1" customWidth="1"/>
    <col min="7" max="8" width="9.28515625" style="95" customWidth="1"/>
    <col min="9" max="9" width="16.28515625" style="95" customWidth="1"/>
    <col min="10" max="256" width="9.28515625" style="95" customWidth="1"/>
    <col min="257" max="16384" width="11.5703125" style="95"/>
  </cols>
  <sheetData>
    <row r="1" spans="1:5" x14ac:dyDescent="0.2">
      <c r="A1" s="97"/>
      <c r="B1" s="97"/>
      <c r="C1" s="97"/>
      <c r="D1" s="97"/>
      <c r="E1" s="97"/>
    </row>
    <row r="2" spans="1:5" x14ac:dyDescent="0.2">
      <c r="A2" s="97"/>
      <c r="B2" s="97"/>
      <c r="C2" s="97"/>
      <c r="D2" s="97"/>
      <c r="E2" s="97"/>
    </row>
    <row r="3" spans="1:5" x14ac:dyDescent="0.2">
      <c r="A3" s="97"/>
      <c r="B3" s="97"/>
      <c r="C3" s="97"/>
      <c r="D3" s="97"/>
      <c r="E3" s="97"/>
    </row>
    <row r="4" spans="1:5" x14ac:dyDescent="0.2">
      <c r="A4" s="97"/>
      <c r="B4" s="97"/>
      <c r="C4" s="97"/>
      <c r="D4" s="97"/>
      <c r="E4" s="97"/>
    </row>
    <row r="5" spans="1:5" ht="12.75" customHeight="1" x14ac:dyDescent="0.2">
      <c r="A5" s="346" t="str">
        <f>+'BALANCE GENERAL'!A6:E6</f>
        <v xml:space="preserve">CONSEJO NACIONAL DE ZONAS FRANCAS DE EXPORTACION (5150) </v>
      </c>
      <c r="B5" s="346"/>
      <c r="C5" s="346"/>
      <c r="D5" s="346"/>
      <c r="E5" s="346"/>
    </row>
    <row r="6" spans="1:5" ht="12.75" customHeight="1" x14ac:dyDescent="0.2">
      <c r="A6" s="346" t="s">
        <v>98</v>
      </c>
      <c r="B6" s="346"/>
      <c r="C6" s="346"/>
      <c r="D6" s="346"/>
      <c r="E6" s="346"/>
    </row>
    <row r="7" spans="1:5" ht="12.75" customHeight="1" x14ac:dyDescent="0.2">
      <c r="A7" s="346" t="str">
        <f>+'BALANCE GENERAL'!A8:E8</f>
        <v>Al 30 de junio semestre 2026 y 30 de junio semestre 2025</v>
      </c>
      <c r="B7" s="346"/>
      <c r="C7" s="346"/>
      <c r="D7" s="346"/>
      <c r="E7" s="346"/>
    </row>
    <row r="8" spans="1:5" ht="12.75" customHeight="1" x14ac:dyDescent="0.2">
      <c r="A8" s="346" t="s">
        <v>6</v>
      </c>
      <c r="B8" s="346"/>
      <c r="C8" s="346"/>
      <c r="D8" s="346"/>
      <c r="E8" s="346"/>
    </row>
    <row r="9" spans="1:5" ht="7.15" customHeight="1" x14ac:dyDescent="0.2">
      <c r="A9" s="94"/>
      <c r="B9" s="94"/>
      <c r="C9" s="94"/>
      <c r="D9" s="94"/>
      <c r="E9" s="94"/>
    </row>
    <row r="10" spans="1:5" x14ac:dyDescent="0.2">
      <c r="A10" s="106"/>
      <c r="B10" s="106"/>
      <c r="C10" s="106"/>
      <c r="D10" s="106"/>
      <c r="E10" s="97"/>
    </row>
    <row r="11" spans="1:5" x14ac:dyDescent="0.2">
      <c r="A11" s="106"/>
      <c r="B11" s="106"/>
      <c r="C11" s="106"/>
      <c r="D11" s="106"/>
      <c r="E11" s="97"/>
    </row>
    <row r="12" spans="1:5" ht="13.5" thickBot="1" x14ac:dyDescent="0.25">
      <c r="A12" s="96" t="s">
        <v>99</v>
      </c>
      <c r="B12" s="154">
        <v>2025</v>
      </c>
      <c r="C12" s="94"/>
      <c r="D12" s="154">
        <v>2024</v>
      </c>
      <c r="E12" s="97"/>
    </row>
    <row r="13" spans="1:5" ht="7.15" customHeight="1" x14ac:dyDescent="0.2">
      <c r="A13" s="97"/>
      <c r="B13" s="94"/>
      <c r="C13" s="94"/>
      <c r="D13" s="94"/>
      <c r="E13" s="97"/>
    </row>
    <row r="14" spans="1:5" x14ac:dyDescent="0.2">
      <c r="A14" s="97" t="s">
        <v>319</v>
      </c>
      <c r="B14" s="112">
        <f>+'NOTAS '!F431</f>
        <v>101498820.52000001</v>
      </c>
      <c r="C14" s="104"/>
      <c r="D14" s="112">
        <f>+'NOTAS '!H431</f>
        <v>82622841.530000001</v>
      </c>
      <c r="E14" s="97"/>
    </row>
    <row r="15" spans="1:5" x14ac:dyDescent="0.2">
      <c r="A15" s="97" t="s">
        <v>320</v>
      </c>
      <c r="B15" s="218">
        <f>+'NOTAS '!F445</f>
        <v>35853312</v>
      </c>
      <c r="C15" s="100"/>
      <c r="D15" s="218">
        <f>+'NOTAS '!H445</f>
        <v>35989314</v>
      </c>
      <c r="E15" s="97"/>
    </row>
    <row r="16" spans="1:5" x14ac:dyDescent="0.2">
      <c r="A16" s="96" t="s">
        <v>100</v>
      </c>
      <c r="B16" s="113">
        <f>SUM(B14:B15)</f>
        <v>137352132.52000001</v>
      </c>
      <c r="C16" s="101"/>
      <c r="D16" s="113">
        <f>SUM(D14:D15)</f>
        <v>118612155.53</v>
      </c>
      <c r="E16" s="97"/>
    </row>
    <row r="17" spans="1:9" x14ac:dyDescent="0.2">
      <c r="A17" s="96"/>
      <c r="B17" s="113"/>
      <c r="C17" s="101"/>
      <c r="D17" s="113"/>
      <c r="E17" s="97"/>
    </row>
    <row r="18" spans="1:9" x14ac:dyDescent="0.2">
      <c r="A18" s="96" t="s">
        <v>318</v>
      </c>
      <c r="B18" s="112"/>
      <c r="C18" s="100"/>
      <c r="D18" s="112"/>
      <c r="E18" s="97"/>
      <c r="F18" s="98"/>
    </row>
    <row r="19" spans="1:9" ht="18.75" customHeight="1" x14ac:dyDescent="0.2">
      <c r="A19" s="97" t="s">
        <v>101</v>
      </c>
      <c r="B19" s="112">
        <f>+'NOTAS '!Q471</f>
        <v>97524392.700000003</v>
      </c>
      <c r="C19" s="112"/>
      <c r="D19" s="112">
        <f>+'NOTAS '!Q468</f>
        <v>90013590.169999987</v>
      </c>
      <c r="E19" s="97"/>
      <c r="F19" s="111"/>
    </row>
    <row r="20" spans="1:9" ht="16.149999999999999" customHeight="1" x14ac:dyDescent="0.2">
      <c r="A20" s="97" t="s">
        <v>184</v>
      </c>
      <c r="B20" s="112">
        <f>+'NOTAS '!F504</f>
        <v>7121707.6799999997</v>
      </c>
      <c r="C20" s="112"/>
      <c r="D20" s="112">
        <f>+'NOTAS '!H504</f>
        <v>6992291.0199999996</v>
      </c>
      <c r="E20" s="97"/>
      <c r="F20" s="111"/>
    </row>
    <row r="21" spans="1:9" x14ac:dyDescent="0.2">
      <c r="A21" s="97" t="s">
        <v>104</v>
      </c>
      <c r="B21" s="112">
        <f>+'NOTAS '!F529</f>
        <v>13037070.960000001</v>
      </c>
      <c r="C21" s="112"/>
      <c r="D21" s="112">
        <f>+'NOTAS '!H529</f>
        <v>16302940.860000001</v>
      </c>
      <c r="E21" s="97"/>
      <c r="I21" s="161"/>
    </row>
    <row r="22" spans="1:9" x14ac:dyDescent="0.2">
      <c r="A22" s="97" t="s">
        <v>102</v>
      </c>
      <c r="B22" s="112">
        <f>+'NOTAS '!F540</f>
        <v>3570951.76</v>
      </c>
      <c r="C22" s="112"/>
      <c r="D22" s="112">
        <f>+'NOTAS '!H540</f>
        <v>2954676.36</v>
      </c>
      <c r="E22" s="97"/>
    </row>
    <row r="23" spans="1:9" x14ac:dyDescent="0.2">
      <c r="A23" s="97" t="s">
        <v>103</v>
      </c>
      <c r="B23" s="112">
        <f>+'NOTAS '!F567</f>
        <v>22904719.000000004</v>
      </c>
      <c r="C23" s="112"/>
      <c r="D23" s="112">
        <f>+'NOTAS '!H567</f>
        <v>19513380.539999999</v>
      </c>
      <c r="E23" s="97"/>
    </row>
    <row r="24" spans="1:9" x14ac:dyDescent="0.2">
      <c r="A24" s="97" t="s">
        <v>105</v>
      </c>
      <c r="B24" s="218">
        <f>+'NOTAS '!F579</f>
        <v>115231.35</v>
      </c>
      <c r="C24" s="112"/>
      <c r="D24" s="218">
        <f>+'NOTAS '!H579</f>
        <v>227400.51</v>
      </c>
      <c r="E24" s="97"/>
    </row>
    <row r="25" spans="1:9" x14ac:dyDescent="0.2">
      <c r="A25" s="96" t="s">
        <v>106</v>
      </c>
      <c r="B25" s="105">
        <f>SUM(B19:B24)</f>
        <v>144274073.45000002</v>
      </c>
      <c r="C25" s="105"/>
      <c r="D25" s="105">
        <f>SUM(D19:D24)</f>
        <v>136004279.45999998</v>
      </c>
      <c r="E25" s="96"/>
      <c r="F25" s="98"/>
    </row>
    <row r="26" spans="1:9" x14ac:dyDescent="0.2">
      <c r="A26" s="97"/>
      <c r="B26" s="104"/>
      <c r="C26" s="97"/>
      <c r="D26" s="104"/>
      <c r="E26" s="97"/>
    </row>
    <row r="27" spans="1:9" x14ac:dyDescent="0.2">
      <c r="A27" s="97" t="s">
        <v>351</v>
      </c>
      <c r="B27" s="104">
        <f>-'NOTAS '!F590</f>
        <v>-22417.11</v>
      </c>
      <c r="C27" s="97"/>
      <c r="D27" s="104">
        <f>-'NOTAS '!H590</f>
        <v>-8823.48</v>
      </c>
      <c r="E27" s="97"/>
    </row>
    <row r="28" spans="1:9" x14ac:dyDescent="0.2">
      <c r="A28" s="97"/>
      <c r="B28" s="97"/>
      <c r="C28" s="97"/>
      <c r="D28" s="97"/>
      <c r="E28" s="97"/>
    </row>
    <row r="29" spans="1:9" x14ac:dyDescent="0.2">
      <c r="A29" s="97" t="s">
        <v>107</v>
      </c>
      <c r="B29" s="100">
        <v>0</v>
      </c>
      <c r="C29" s="100"/>
      <c r="D29" s="100">
        <v>0</v>
      </c>
      <c r="E29" s="97"/>
      <c r="F29" s="111"/>
    </row>
    <row r="30" spans="1:9" x14ac:dyDescent="0.2">
      <c r="A30" s="97"/>
      <c r="B30" s="100"/>
      <c r="C30" s="100"/>
      <c r="D30" s="100"/>
      <c r="E30" s="97"/>
    </row>
    <row r="31" spans="1:9" ht="13.5" thickBot="1" x14ac:dyDescent="0.25">
      <c r="A31" s="96" t="s">
        <v>108</v>
      </c>
      <c r="B31" s="213">
        <f>+B16-B25+B27</f>
        <v>-6944358.0400000075</v>
      </c>
      <c r="C31" s="99"/>
      <c r="D31" s="213">
        <f>+D16-D25+D27</f>
        <v>-17400947.409999978</v>
      </c>
      <c r="E31" s="97"/>
    </row>
    <row r="32" spans="1:9" ht="13.5" thickTop="1" x14ac:dyDescent="0.2">
      <c r="A32" s="97"/>
      <c r="B32" s="100"/>
      <c r="C32" s="100"/>
      <c r="D32" s="100"/>
      <c r="E32" s="97"/>
    </row>
    <row r="33" spans="1:4" ht="16.5" customHeight="1" x14ac:dyDescent="0.2">
      <c r="B33" s="178"/>
      <c r="C33" s="178"/>
      <c r="D33" s="178"/>
    </row>
    <row r="34" spans="1:4" ht="19.5" customHeight="1" x14ac:dyDescent="0.2">
      <c r="A34" s="373" t="s">
        <v>328</v>
      </c>
      <c r="B34" s="373"/>
      <c r="C34" s="373"/>
      <c r="D34" s="373"/>
    </row>
    <row r="35" spans="1:4" x14ac:dyDescent="0.2">
      <c r="A35" s="94"/>
      <c r="B35" s="287"/>
      <c r="C35" s="94"/>
      <c r="D35" s="287"/>
    </row>
    <row r="36" spans="1:4" x14ac:dyDescent="0.2">
      <c r="A36" s="346"/>
      <c r="B36" s="346"/>
      <c r="C36" s="346"/>
      <c r="D36" s="346"/>
    </row>
    <row r="37" spans="1:4" x14ac:dyDescent="0.2">
      <c r="A37" s="347"/>
      <c r="B37" s="347"/>
      <c r="C37" s="347"/>
      <c r="D37" s="347"/>
    </row>
    <row r="38" spans="1:4" x14ac:dyDescent="0.2">
      <c r="A38" s="97"/>
      <c r="B38" s="97"/>
      <c r="C38" s="97"/>
      <c r="D38" s="97"/>
    </row>
    <row r="39" spans="1:4" x14ac:dyDescent="0.2">
      <c r="A39" s="94"/>
      <c r="B39" s="94"/>
      <c r="C39" s="94"/>
      <c r="D39" s="94"/>
    </row>
    <row r="40" spans="1:4" x14ac:dyDescent="0.2">
      <c r="A40" s="346"/>
      <c r="B40" s="346"/>
      <c r="C40" s="346"/>
      <c r="D40" s="346"/>
    </row>
    <row r="41" spans="1:4" x14ac:dyDescent="0.2">
      <c r="A41" s="347"/>
      <c r="B41" s="347"/>
      <c r="C41" s="347"/>
      <c r="D41" s="347"/>
    </row>
    <row r="42" spans="1:4" x14ac:dyDescent="0.2">
      <c r="A42" s="106"/>
      <c r="B42" s="97"/>
      <c r="C42" s="97"/>
      <c r="D42" s="97"/>
    </row>
    <row r="43" spans="1:4" x14ac:dyDescent="0.2">
      <c r="A43" s="107"/>
      <c r="B43" s="108"/>
      <c r="C43" s="107"/>
      <c r="D43" s="108"/>
    </row>
    <row r="44" spans="1:4" x14ac:dyDescent="0.2">
      <c r="A44" s="107"/>
      <c r="B44" s="109"/>
      <c r="C44" s="107"/>
      <c r="D44" s="108"/>
    </row>
    <row r="45" spans="1:4" x14ac:dyDescent="0.2">
      <c r="A45" s="110"/>
      <c r="B45" s="110"/>
      <c r="C45" s="97"/>
      <c r="D45" s="97"/>
    </row>
    <row r="46" spans="1:4" x14ac:dyDescent="0.2">
      <c r="A46" s="110"/>
      <c r="B46" s="97"/>
      <c r="C46" s="97"/>
      <c r="D46" s="97"/>
    </row>
    <row r="47" spans="1:4" x14ac:dyDescent="0.2">
      <c r="A47" s="110"/>
      <c r="B47" s="97"/>
      <c r="C47" s="97"/>
      <c r="D47" s="97"/>
    </row>
    <row r="48" spans="1:4" x14ac:dyDescent="0.2">
      <c r="A48" s="110"/>
      <c r="B48" s="97"/>
      <c r="C48" s="97"/>
      <c r="D48" s="97"/>
    </row>
    <row r="50" spans="1:5" x14ac:dyDescent="0.2">
      <c r="A50" s="119"/>
      <c r="B50" s="180"/>
      <c r="C50" s="180"/>
      <c r="D50" s="180"/>
    </row>
    <row r="51" spans="1:5" x14ac:dyDescent="0.2">
      <c r="A51" s="96"/>
      <c r="B51" s="101"/>
      <c r="C51" s="101"/>
      <c r="D51" s="101"/>
      <c r="E51" s="97"/>
    </row>
    <row r="52" spans="1:5" hidden="1" x14ac:dyDescent="0.2">
      <c r="A52" s="97"/>
      <c r="B52" s="101"/>
      <c r="C52" s="101"/>
      <c r="D52" s="101"/>
      <c r="E52" s="97"/>
    </row>
    <row r="53" spans="1:5" hidden="1" x14ac:dyDescent="0.2">
      <c r="A53" s="97"/>
      <c r="B53" s="100"/>
      <c r="C53" s="100"/>
      <c r="D53" s="100"/>
      <c r="E53" s="97"/>
    </row>
    <row r="54" spans="1:5" hidden="1" x14ac:dyDescent="0.2">
      <c r="A54" s="96"/>
      <c r="B54" s="101"/>
      <c r="C54" s="101"/>
      <c r="D54" s="101"/>
      <c r="E54" s="97"/>
    </row>
    <row r="55" spans="1:5" hidden="1" x14ac:dyDescent="0.2">
      <c r="A55" s="97"/>
      <c r="B55" s="97"/>
      <c r="C55" s="97"/>
      <c r="D55" s="97"/>
      <c r="E55" s="97"/>
    </row>
    <row r="56" spans="1:5" hidden="1" x14ac:dyDescent="0.2">
      <c r="A56" s="97"/>
      <c r="B56" s="97"/>
      <c r="C56" s="97"/>
      <c r="D56" s="97"/>
      <c r="E56" s="97"/>
    </row>
    <row r="57" spans="1:5" hidden="1" x14ac:dyDescent="0.2">
      <c r="A57" s="94"/>
      <c r="B57" s="94"/>
      <c r="C57" s="94"/>
      <c r="D57" s="94"/>
      <c r="E57" s="97"/>
    </row>
    <row r="58" spans="1:5" hidden="1" x14ac:dyDescent="0.2">
      <c r="A58" s="346"/>
      <c r="B58" s="346"/>
      <c r="C58" s="346"/>
      <c r="D58" s="346"/>
      <c r="E58" s="97"/>
    </row>
    <row r="59" spans="1:5" hidden="1" x14ac:dyDescent="0.2">
      <c r="A59" s="347"/>
      <c r="B59" s="347"/>
      <c r="C59" s="347"/>
      <c r="D59" s="347"/>
      <c r="E59" s="97"/>
    </row>
    <row r="60" spans="1:5" hidden="1" x14ac:dyDescent="0.2">
      <c r="A60" s="97"/>
      <c r="B60" s="97"/>
      <c r="C60" s="97"/>
      <c r="D60" s="97"/>
      <c r="E60" s="97"/>
    </row>
    <row r="61" spans="1:5" hidden="1" x14ac:dyDescent="0.2">
      <c r="A61" s="94"/>
      <c r="B61" s="94"/>
      <c r="C61" s="94"/>
      <c r="D61" s="94"/>
      <c r="E61" s="97"/>
    </row>
    <row r="62" spans="1:5" hidden="1" x14ac:dyDescent="0.2">
      <c r="A62" s="346"/>
      <c r="B62" s="346"/>
      <c r="C62" s="346"/>
      <c r="D62" s="346"/>
      <c r="E62" s="97"/>
    </row>
    <row r="63" spans="1:5" hidden="1" x14ac:dyDescent="0.2">
      <c r="A63" s="347"/>
      <c r="B63" s="347"/>
      <c r="C63" s="347"/>
      <c r="D63" s="347"/>
      <c r="E63" s="97"/>
    </row>
    <row r="64" spans="1:5" hidden="1" x14ac:dyDescent="0.2">
      <c r="A64" s="106"/>
      <c r="B64" s="97"/>
      <c r="C64" s="97"/>
      <c r="D64" s="97"/>
      <c r="E64" s="97"/>
    </row>
    <row r="65" spans="1:5" hidden="1" x14ac:dyDescent="0.2">
      <c r="A65" s="107"/>
      <c r="B65" s="108"/>
      <c r="C65" s="107"/>
      <c r="D65" s="108"/>
      <c r="E65" s="97"/>
    </row>
    <row r="66" spans="1:5" x14ac:dyDescent="0.2">
      <c r="A66" s="107"/>
      <c r="B66" s="109"/>
      <c r="C66" s="107"/>
      <c r="D66" s="108"/>
      <c r="E66" s="97"/>
    </row>
    <row r="67" spans="1:5" x14ac:dyDescent="0.2">
      <c r="A67" s="110"/>
      <c r="B67" s="110"/>
      <c r="C67" s="97"/>
      <c r="D67" s="97"/>
      <c r="E67" s="97"/>
    </row>
    <row r="68" spans="1:5" x14ac:dyDescent="0.2">
      <c r="A68" s="110"/>
      <c r="B68" s="97"/>
      <c r="C68" s="97"/>
      <c r="D68" s="97"/>
      <c r="E68" s="97"/>
    </row>
    <row r="69" spans="1:5" x14ac:dyDescent="0.2">
      <c r="E69" s="97"/>
    </row>
    <row r="70" spans="1:5" x14ac:dyDescent="0.2">
      <c r="A70" s="373"/>
      <c r="B70" s="373"/>
      <c r="C70" s="373"/>
      <c r="D70" s="373"/>
      <c r="E70" s="97"/>
    </row>
  </sheetData>
  <mergeCells count="14">
    <mergeCell ref="A5:E5"/>
    <mergeCell ref="A6:E6"/>
    <mergeCell ref="A7:E7"/>
    <mergeCell ref="A8:E8"/>
    <mergeCell ref="A70:D70"/>
    <mergeCell ref="A59:D59"/>
    <mergeCell ref="A58:D58"/>
    <mergeCell ref="A62:D62"/>
    <mergeCell ref="A63:D63"/>
    <mergeCell ref="A34:D34"/>
    <mergeCell ref="A36:D36"/>
    <mergeCell ref="A37:D37"/>
    <mergeCell ref="A40:D40"/>
    <mergeCell ref="A41:D41"/>
  </mergeCells>
  <phoneticPr fontId="0" type="noConversion"/>
  <pageMargins left="0.73" right="0.16" top="1.72" bottom="0.64" header="0.44" footer="0"/>
  <pageSetup scale="8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5"/>
  </sheetPr>
  <dimension ref="A1:V89"/>
  <sheetViews>
    <sheetView zoomScale="178" zoomScaleNormal="178" zoomScaleSheetLayoutView="100" workbookViewId="0">
      <selection activeCell="D38" sqref="D38"/>
    </sheetView>
  </sheetViews>
  <sheetFormatPr baseColWidth="10" defaultColWidth="11.42578125" defaultRowHeight="12.75" x14ac:dyDescent="0.2"/>
  <cols>
    <col min="1" max="1" width="55.28515625" style="95" customWidth="1"/>
    <col min="2" max="2" width="23.28515625" style="95" bestFit="1" customWidth="1"/>
    <col min="3" max="3" width="8.28515625" style="95" customWidth="1"/>
    <col min="4" max="4" width="23.28515625" style="117" customWidth="1"/>
    <col min="5" max="5" width="19.28515625" style="117" customWidth="1"/>
    <col min="6" max="6" width="17.7109375" style="95" customWidth="1"/>
    <col min="7" max="7" width="9.28515625" style="95" customWidth="1"/>
    <col min="8" max="8" width="16.42578125" style="95" customWidth="1"/>
    <col min="9" max="10" width="9.28515625" style="95" customWidth="1"/>
    <col min="11" max="11" width="13.7109375" style="95" customWidth="1"/>
    <col min="12" max="248" width="9.28515625" style="95" customWidth="1"/>
    <col min="249" max="16384" width="11.42578125" style="95"/>
  </cols>
  <sheetData>
    <row r="1" spans="1:9" x14ac:dyDescent="0.2">
      <c r="A1" s="97"/>
      <c r="B1" s="97"/>
      <c r="C1" s="97"/>
      <c r="D1" s="114"/>
      <c r="E1" s="178"/>
    </row>
    <row r="2" spans="1:9" x14ac:dyDescent="0.2">
      <c r="A2" s="97"/>
      <c r="B2" s="97"/>
      <c r="C2" s="97"/>
      <c r="D2" s="114"/>
      <c r="E2" s="178"/>
    </row>
    <row r="3" spans="1:9" x14ac:dyDescent="0.2">
      <c r="A3" s="97"/>
      <c r="B3" s="97"/>
      <c r="C3" s="97"/>
      <c r="D3" s="114"/>
      <c r="E3" s="178"/>
    </row>
    <row r="4" spans="1:9" x14ac:dyDescent="0.2">
      <c r="A4" s="346"/>
      <c r="B4" s="346"/>
      <c r="C4" s="346"/>
      <c r="D4" s="346"/>
    </row>
    <row r="5" spans="1:9" x14ac:dyDescent="0.2">
      <c r="A5" s="96"/>
      <c r="B5" s="96"/>
      <c r="C5" s="96"/>
      <c r="D5" s="96"/>
    </row>
    <row r="6" spans="1:9" x14ac:dyDescent="0.2">
      <c r="A6" s="96"/>
      <c r="B6" s="96"/>
      <c r="C6" s="96"/>
      <c r="D6" s="95"/>
      <c r="E6" s="95"/>
      <c r="G6" s="179"/>
      <c r="H6" s="132"/>
      <c r="I6" s="131"/>
    </row>
    <row r="7" spans="1:9" ht="27.6" customHeight="1" x14ac:dyDescent="0.2">
      <c r="A7" s="376" t="str">
        <f>+'ESTADO DE RESULTADOS'!A5:E5</f>
        <v xml:space="preserve">CONSEJO NACIONAL DE ZONAS FRANCAS DE EXPORTACION (5150) </v>
      </c>
      <c r="B7" s="376"/>
      <c r="C7" s="376"/>
      <c r="D7" s="376"/>
      <c r="E7" s="95"/>
      <c r="G7" s="179"/>
      <c r="H7" s="132"/>
      <c r="I7" s="131"/>
    </row>
    <row r="8" spans="1:9" x14ac:dyDescent="0.2">
      <c r="A8" s="377" t="s">
        <v>298</v>
      </c>
      <c r="B8" s="377"/>
      <c r="C8" s="377"/>
      <c r="D8" s="377"/>
      <c r="E8" s="132"/>
      <c r="F8" s="131"/>
    </row>
    <row r="9" spans="1:9" x14ac:dyDescent="0.2">
      <c r="A9" s="377" t="str">
        <f>+'ESTADO DE RESULTADOS'!A7:E7</f>
        <v>Al 30 de junio semestre 2026 y 30 de junio semestre 2025</v>
      </c>
      <c r="B9" s="377"/>
      <c r="C9" s="377"/>
      <c r="D9" s="377"/>
      <c r="E9" s="132"/>
      <c r="F9" s="131"/>
    </row>
    <row r="10" spans="1:9" x14ac:dyDescent="0.2">
      <c r="A10" s="374" t="s">
        <v>118</v>
      </c>
      <c r="B10" s="374"/>
      <c r="C10" s="374"/>
      <c r="D10" s="374"/>
      <c r="E10" s="95"/>
      <c r="F10" s="131"/>
      <c r="G10" s="132"/>
    </row>
    <row r="11" spans="1:9" x14ac:dyDescent="0.2">
      <c r="A11" s="97"/>
      <c r="B11" s="97"/>
      <c r="C11" s="97"/>
      <c r="D11" s="114"/>
    </row>
    <row r="12" spans="1:9" ht="13.5" thickBot="1" x14ac:dyDescent="0.25">
      <c r="A12" s="133"/>
      <c r="B12" s="154">
        <v>2026</v>
      </c>
      <c r="C12" s="94"/>
      <c r="D12" s="154">
        <v>2025</v>
      </c>
    </row>
    <row r="13" spans="1:9" x14ac:dyDescent="0.2">
      <c r="A13" s="133"/>
      <c r="B13" s="134"/>
      <c r="C13" s="94"/>
      <c r="D13" s="134"/>
    </row>
    <row r="14" spans="1:9" x14ac:dyDescent="0.2">
      <c r="A14" s="115" t="s">
        <v>299</v>
      </c>
      <c r="B14" s="116"/>
      <c r="C14" s="116"/>
      <c r="D14" s="116"/>
    </row>
    <row r="15" spans="1:9" x14ac:dyDescent="0.2">
      <c r="A15" s="126" t="s">
        <v>336</v>
      </c>
      <c r="B15" s="173">
        <f>+'NOTAS '!F431</f>
        <v>101498820.52000001</v>
      </c>
      <c r="C15" s="118"/>
      <c r="D15" s="118">
        <f>+'NOTAS '!H431</f>
        <v>82622841.530000001</v>
      </c>
      <c r="F15" s="161"/>
    </row>
    <row r="16" spans="1:9" x14ac:dyDescent="0.2">
      <c r="A16" s="126" t="s">
        <v>109</v>
      </c>
      <c r="B16" s="173">
        <f>+'NOTAS '!F445</f>
        <v>35853312</v>
      </c>
      <c r="C16" s="118"/>
      <c r="D16" s="118">
        <f>+'NOTAS '!H445</f>
        <v>35989314</v>
      </c>
      <c r="F16" s="161"/>
    </row>
    <row r="17" spans="1:4" x14ac:dyDescent="0.2">
      <c r="A17" s="126" t="s">
        <v>110</v>
      </c>
      <c r="B17" s="174">
        <f>-'NOTAS '!F482+7717930</f>
        <v>-89806462.700000003</v>
      </c>
      <c r="C17" s="118"/>
      <c r="D17" s="121">
        <f>-'NOTAS '!H482+'NOTAS '!S461</f>
        <v>-82720454.389999986</v>
      </c>
    </row>
    <row r="18" spans="1:4" x14ac:dyDescent="0.2">
      <c r="A18" s="126" t="s">
        <v>111</v>
      </c>
      <c r="B18" s="174">
        <f>-'NOTAS '!F461-'NOTAS '!F462-'NOTAS '!F463</f>
        <v>-7717930.4600000009</v>
      </c>
      <c r="C18" s="118"/>
      <c r="D18" s="121">
        <f>-'NOTAS '!S461</f>
        <v>-7293135.7800000003</v>
      </c>
    </row>
    <row r="19" spans="1:4" x14ac:dyDescent="0.2">
      <c r="A19" s="126" t="s">
        <v>112</v>
      </c>
      <c r="B19" s="173">
        <f>-'NOTAS '!F504-'NOTAS '!F529-'NOTAS '!F567+'BALANCE GENERAL'!I14+8134386</f>
        <v>-34929111.640000001</v>
      </c>
      <c r="C19" s="118"/>
      <c r="D19" s="118">
        <v>-26621201</v>
      </c>
    </row>
    <row r="20" spans="1:4" x14ac:dyDescent="0.2">
      <c r="A20" s="126" t="s">
        <v>113</v>
      </c>
      <c r="B20" s="215">
        <f>-'NOTAS '!F579</f>
        <v>-115231.35</v>
      </c>
      <c r="C20" s="118"/>
      <c r="D20" s="215">
        <f>-'NOTAS '!H579</f>
        <v>-227400.51</v>
      </c>
    </row>
    <row r="21" spans="1:4" x14ac:dyDescent="0.2">
      <c r="A21" s="126"/>
      <c r="B21" s="122"/>
      <c r="C21" s="118"/>
      <c r="D21" s="122"/>
    </row>
    <row r="22" spans="1:4" x14ac:dyDescent="0.2">
      <c r="A22" s="115" t="s">
        <v>168</v>
      </c>
      <c r="B22" s="120">
        <f>SUM(B15:B20)</f>
        <v>4783396.3700000066</v>
      </c>
      <c r="C22" s="123"/>
      <c r="D22" s="120">
        <f>SUM(D15:D20)</f>
        <v>1749963.8500000143</v>
      </c>
    </row>
    <row r="23" spans="1:4" x14ac:dyDescent="0.2">
      <c r="A23" s="115"/>
      <c r="B23" s="124"/>
      <c r="C23" s="125"/>
      <c r="D23" s="124"/>
    </row>
    <row r="24" spans="1:4" x14ac:dyDescent="0.2">
      <c r="A24" s="115" t="s">
        <v>167</v>
      </c>
      <c r="B24" s="123"/>
      <c r="C24" s="123"/>
      <c r="D24" s="123"/>
    </row>
    <row r="25" spans="1:4" x14ac:dyDescent="0.2">
      <c r="A25" s="126" t="s">
        <v>164</v>
      </c>
      <c r="B25" s="155">
        <f>-'NOTAS '!D234</f>
        <v>-2085884.03</v>
      </c>
      <c r="C25" s="127"/>
      <c r="D25" s="155">
        <v>-6842913</v>
      </c>
    </row>
    <row r="26" spans="1:4" x14ac:dyDescent="0.2">
      <c r="A26" s="126" t="s">
        <v>165</v>
      </c>
      <c r="B26" s="214">
        <v>0</v>
      </c>
      <c r="C26" s="129"/>
      <c r="D26" s="214"/>
    </row>
    <row r="27" spans="1:4" x14ac:dyDescent="0.2">
      <c r="A27" s="115" t="s">
        <v>166</v>
      </c>
      <c r="B27" s="120">
        <f>SUM(B25:B26)</f>
        <v>-2085884.03</v>
      </c>
      <c r="C27" s="123"/>
      <c r="D27" s="120">
        <f>SUM(D25:D26)</f>
        <v>-6842913</v>
      </c>
    </row>
    <row r="28" spans="1:4" x14ac:dyDescent="0.2">
      <c r="A28" s="115"/>
      <c r="B28" s="123"/>
      <c r="C28" s="123"/>
      <c r="D28" s="123"/>
    </row>
    <row r="29" spans="1:4" x14ac:dyDescent="0.2">
      <c r="A29" s="115" t="s">
        <v>169</v>
      </c>
      <c r="B29" s="123"/>
      <c r="C29" s="123"/>
      <c r="D29" s="123"/>
    </row>
    <row r="30" spans="1:4" x14ac:dyDescent="0.2">
      <c r="A30" s="126" t="s">
        <v>371</v>
      </c>
      <c r="B30" s="118">
        <f>+'BALANCE GENERAL'!J20</f>
        <v>153615.75999999978</v>
      </c>
      <c r="C30" s="128"/>
      <c r="D30" s="118">
        <v>209725</v>
      </c>
    </row>
    <row r="31" spans="1:4" x14ac:dyDescent="0.2">
      <c r="A31" s="126" t="s">
        <v>372</v>
      </c>
      <c r="B31" s="118"/>
      <c r="C31" s="128"/>
      <c r="D31" s="118">
        <v>0</v>
      </c>
    </row>
    <row r="32" spans="1:4" ht="25.5" x14ac:dyDescent="0.2">
      <c r="A32" s="277" t="s">
        <v>373</v>
      </c>
      <c r="B32" s="118">
        <f>+'BALANCE GENERAL'!J34</f>
        <v>-153616.70000000019</v>
      </c>
      <c r="C32" s="128"/>
      <c r="D32" s="118">
        <v>-282825</v>
      </c>
    </row>
    <row r="33" spans="1:22" x14ac:dyDescent="0.2">
      <c r="A33" s="126" t="s">
        <v>165</v>
      </c>
      <c r="B33" s="214"/>
      <c r="C33" s="128"/>
      <c r="D33" s="214"/>
    </row>
    <row r="34" spans="1:22" x14ac:dyDescent="0.2">
      <c r="A34" s="175" t="s">
        <v>114</v>
      </c>
      <c r="B34" s="176">
        <f>SUM(B30:B33)</f>
        <v>-0.94000000040978193</v>
      </c>
      <c r="C34" s="177"/>
      <c r="D34" s="176">
        <f>SUM(D30:D33)</f>
        <v>-73100</v>
      </c>
    </row>
    <row r="35" spans="1:22" x14ac:dyDescent="0.2">
      <c r="A35" s="115"/>
      <c r="B35" s="123"/>
      <c r="C35" s="123"/>
      <c r="D35" s="123"/>
    </row>
    <row r="36" spans="1:22" x14ac:dyDescent="0.2">
      <c r="A36" s="126" t="s">
        <v>115</v>
      </c>
      <c r="B36" s="118">
        <f>+B22+B27+B34</f>
        <v>2697511.400000006</v>
      </c>
      <c r="C36" s="128"/>
      <c r="D36" s="118">
        <f>+D22+D27+D34</f>
        <v>-5166049.1499999855</v>
      </c>
    </row>
    <row r="37" spans="1:22" x14ac:dyDescent="0.2">
      <c r="A37" s="126" t="s">
        <v>116</v>
      </c>
      <c r="B37" s="300">
        <v>97167356</v>
      </c>
      <c r="C37" s="129"/>
      <c r="D37" s="214">
        <v>144024143</v>
      </c>
    </row>
    <row r="38" spans="1:22" s="115" customFormat="1" ht="13.5" thickBot="1" x14ac:dyDescent="0.25">
      <c r="A38" s="115" t="s">
        <v>170</v>
      </c>
      <c r="B38" s="216">
        <f>SUM(B36:B37)</f>
        <v>99864867.400000006</v>
      </c>
      <c r="D38" s="216">
        <f>SUM(D36:D37)</f>
        <v>138858093.85000002</v>
      </c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</row>
    <row r="39" spans="1:22" s="115" customFormat="1" ht="13.5" thickTop="1" x14ac:dyDescent="0.2">
      <c r="B39" s="288"/>
      <c r="D39" s="288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</row>
    <row r="40" spans="1:22" x14ac:dyDescent="0.2">
      <c r="A40" s="130"/>
      <c r="B40" s="142"/>
      <c r="C40" s="97"/>
      <c r="D40" s="142"/>
    </row>
    <row r="41" spans="1:22" s="131" customFormat="1" hidden="1" x14ac:dyDescent="0.2">
      <c r="B41" s="143"/>
      <c r="D41" s="132"/>
      <c r="E41" s="117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</row>
    <row r="42" spans="1:22" hidden="1" x14ac:dyDescent="0.2">
      <c r="B42" s="111"/>
    </row>
    <row r="43" spans="1:22" hidden="1" x14ac:dyDescent="0.2">
      <c r="B43" s="111"/>
    </row>
    <row r="44" spans="1:22" hidden="1" x14ac:dyDescent="0.2">
      <c r="B44" s="123"/>
    </row>
    <row r="45" spans="1:22" hidden="1" x14ac:dyDescent="0.2">
      <c r="B45" s="111"/>
    </row>
    <row r="46" spans="1:22" hidden="1" x14ac:dyDescent="0.2">
      <c r="B46" s="111"/>
    </row>
    <row r="47" spans="1:22" hidden="1" x14ac:dyDescent="0.2">
      <c r="F47" s="111"/>
    </row>
    <row r="48" spans="1:22" hidden="1" x14ac:dyDescent="0.2"/>
    <row r="49" spans="1:8" hidden="1" x14ac:dyDescent="0.2"/>
    <row r="50" spans="1:8" hidden="1" x14ac:dyDescent="0.2"/>
    <row r="51" spans="1:8" s="117" customFormat="1" hidden="1" x14ac:dyDescent="0.2">
      <c r="A51" s="95"/>
      <c r="B51" s="95"/>
      <c r="C51" s="95"/>
      <c r="F51" s="95"/>
      <c r="G51" s="95"/>
      <c r="H51" s="95"/>
    </row>
    <row r="52" spans="1:8" s="117" customFormat="1" hidden="1" x14ac:dyDescent="0.2">
      <c r="A52" s="95"/>
      <c r="B52" s="95"/>
      <c r="C52" s="95"/>
      <c r="F52" s="95"/>
      <c r="G52" s="95"/>
      <c r="H52" s="95"/>
    </row>
    <row r="53" spans="1:8" s="117" customFormat="1" hidden="1" x14ac:dyDescent="0.2">
      <c r="A53" s="95"/>
      <c r="B53" s="95"/>
      <c r="C53" s="95"/>
      <c r="F53" s="95"/>
      <c r="G53" s="95"/>
      <c r="H53" s="95"/>
    </row>
    <row r="54" spans="1:8" s="117" customFormat="1" hidden="1" x14ac:dyDescent="0.2">
      <c r="A54" s="375"/>
      <c r="B54" s="375"/>
      <c r="C54" s="375"/>
      <c r="D54" s="375"/>
      <c r="F54" s="95"/>
      <c r="G54" s="95"/>
      <c r="H54" s="95"/>
    </row>
    <row r="55" spans="1:8" s="117" customFormat="1" x14ac:dyDescent="0.2">
      <c r="A55" s="373" t="s">
        <v>328</v>
      </c>
      <c r="B55" s="373"/>
      <c r="C55" s="373"/>
      <c r="D55" s="373"/>
      <c r="F55" s="95"/>
      <c r="G55" s="95"/>
      <c r="H55" s="95"/>
    </row>
    <row r="56" spans="1:8" x14ac:dyDescent="0.2">
      <c r="A56" s="347"/>
      <c r="B56" s="347"/>
      <c r="C56" s="347"/>
      <c r="D56" s="347"/>
      <c r="E56" s="95"/>
    </row>
    <row r="57" spans="1:8" x14ac:dyDescent="0.2">
      <c r="A57" s="97"/>
      <c r="B57" s="97"/>
      <c r="C57" s="97"/>
      <c r="D57" s="97"/>
      <c r="E57" s="95"/>
    </row>
    <row r="58" spans="1:8" x14ac:dyDescent="0.2">
      <c r="A58" s="94"/>
      <c r="B58" s="94"/>
      <c r="C58" s="94"/>
      <c r="D58" s="94"/>
      <c r="E58" s="95"/>
    </row>
    <row r="59" spans="1:8" x14ac:dyDescent="0.2">
      <c r="A59" s="346"/>
      <c r="B59" s="346"/>
      <c r="C59" s="346"/>
      <c r="D59" s="346"/>
      <c r="E59" s="95"/>
    </row>
    <row r="60" spans="1:8" x14ac:dyDescent="0.2">
      <c r="A60" s="347"/>
      <c r="B60" s="347"/>
      <c r="C60" s="347"/>
      <c r="D60" s="347"/>
      <c r="E60" s="95"/>
    </row>
    <row r="61" spans="1:8" x14ac:dyDescent="0.2">
      <c r="A61" s="106"/>
      <c r="B61" s="106"/>
      <c r="C61" s="106"/>
      <c r="D61" s="106"/>
      <c r="E61" s="95"/>
    </row>
    <row r="62" spans="1:8" x14ac:dyDescent="0.2">
      <c r="A62" s="106"/>
      <c r="B62" s="97"/>
      <c r="C62" s="97"/>
      <c r="D62" s="97"/>
      <c r="E62" s="95"/>
    </row>
    <row r="63" spans="1:8" x14ac:dyDescent="0.2">
      <c r="A63" s="107"/>
      <c r="B63" s="108"/>
      <c r="C63" s="107"/>
      <c r="D63" s="108"/>
      <c r="E63" s="95"/>
    </row>
    <row r="64" spans="1:8" x14ac:dyDescent="0.2">
      <c r="A64" s="107"/>
      <c r="B64" s="109"/>
      <c r="C64" s="107"/>
      <c r="D64" s="108"/>
      <c r="E64" s="95"/>
    </row>
    <row r="65" spans="1:8" x14ac:dyDescent="0.2">
      <c r="A65" s="110"/>
      <c r="B65" s="110"/>
      <c r="C65" s="97"/>
      <c r="D65" s="97"/>
      <c r="E65" s="95"/>
    </row>
    <row r="66" spans="1:8" x14ac:dyDescent="0.2">
      <c r="A66" s="110"/>
      <c r="B66" s="97"/>
      <c r="C66" s="97"/>
      <c r="D66" s="97"/>
      <c r="E66" s="95"/>
    </row>
    <row r="67" spans="1:8" x14ac:dyDescent="0.2">
      <c r="A67" s="110"/>
      <c r="B67" s="97"/>
      <c r="C67" s="97"/>
      <c r="D67" s="97"/>
      <c r="E67" s="95"/>
    </row>
    <row r="68" spans="1:8" x14ac:dyDescent="0.2">
      <c r="A68" s="110"/>
      <c r="B68" s="97"/>
      <c r="C68" s="97"/>
      <c r="D68" s="97"/>
      <c r="E68" s="95"/>
    </row>
    <row r="69" spans="1:8" s="117" customFormat="1" x14ac:dyDescent="0.2">
      <c r="A69" s="95"/>
      <c r="B69" s="95"/>
      <c r="C69" s="95"/>
      <c r="F69" s="95"/>
      <c r="G69" s="95"/>
      <c r="H69" s="95"/>
    </row>
    <row r="71" spans="1:8" s="117" customFormat="1" x14ac:dyDescent="0.2">
      <c r="A71" s="95"/>
      <c r="B71" s="95"/>
      <c r="C71" s="95"/>
      <c r="F71" s="95"/>
      <c r="G71" s="95"/>
      <c r="H71" s="95"/>
    </row>
    <row r="72" spans="1:8" s="117" customFormat="1" x14ac:dyDescent="0.2">
      <c r="A72" s="95"/>
      <c r="B72" s="95"/>
      <c r="C72" s="95"/>
      <c r="F72" s="95"/>
      <c r="G72" s="95"/>
      <c r="H72" s="95"/>
    </row>
    <row r="73" spans="1:8" s="117" customFormat="1" x14ac:dyDescent="0.2">
      <c r="A73" s="95"/>
      <c r="B73" s="95"/>
      <c r="C73" s="95"/>
      <c r="F73" s="95"/>
      <c r="G73" s="95"/>
      <c r="H73" s="95"/>
    </row>
    <row r="74" spans="1:8" s="117" customFormat="1" x14ac:dyDescent="0.2">
      <c r="A74" s="95"/>
      <c r="B74" s="95"/>
      <c r="C74" s="95"/>
      <c r="F74" s="95"/>
      <c r="G74" s="95"/>
      <c r="H74" s="95"/>
    </row>
    <row r="75" spans="1:8" s="117" customFormat="1" x14ac:dyDescent="0.2">
      <c r="A75" s="95"/>
      <c r="B75" s="95"/>
      <c r="C75" s="95"/>
      <c r="F75" s="95"/>
      <c r="G75" s="95"/>
      <c r="H75" s="95"/>
    </row>
    <row r="76" spans="1:8" s="117" customFormat="1" x14ac:dyDescent="0.2">
      <c r="A76" s="95"/>
      <c r="B76" s="95"/>
      <c r="C76" s="95"/>
      <c r="F76" s="95"/>
      <c r="G76" s="95"/>
      <c r="H76" s="95"/>
    </row>
    <row r="77" spans="1:8" s="117" customFormat="1" x14ac:dyDescent="0.2">
      <c r="A77" s="95"/>
      <c r="B77" s="95"/>
      <c r="C77" s="95"/>
      <c r="F77" s="95"/>
      <c r="G77" s="95"/>
      <c r="H77" s="95"/>
    </row>
    <row r="78" spans="1:8" s="117" customFormat="1" x14ac:dyDescent="0.2">
      <c r="A78" s="95"/>
      <c r="B78" s="95"/>
      <c r="C78" s="95"/>
      <c r="F78" s="95"/>
      <c r="G78" s="95"/>
      <c r="H78" s="95"/>
    </row>
    <row r="79" spans="1:8" s="117" customFormat="1" x14ac:dyDescent="0.2">
      <c r="A79" s="95"/>
      <c r="B79" s="95"/>
      <c r="C79" s="95"/>
      <c r="F79" s="95"/>
      <c r="G79" s="95"/>
      <c r="H79" s="95"/>
    </row>
    <row r="80" spans="1:8" s="117" customFormat="1" x14ac:dyDescent="0.2">
      <c r="A80" s="95"/>
      <c r="B80" s="95"/>
      <c r="C80" s="95"/>
      <c r="F80" s="95"/>
      <c r="G80" s="95"/>
      <c r="H80" s="95"/>
    </row>
    <row r="81" spans="1:8" s="117" customFormat="1" x14ac:dyDescent="0.2">
      <c r="A81" s="95"/>
      <c r="B81" s="95"/>
      <c r="C81" s="95"/>
      <c r="F81" s="95"/>
      <c r="G81" s="95"/>
      <c r="H81" s="95"/>
    </row>
    <row r="82" spans="1:8" s="117" customFormat="1" x14ac:dyDescent="0.2">
      <c r="A82" s="95"/>
      <c r="B82" s="95"/>
      <c r="C82" s="95"/>
      <c r="F82" s="95"/>
      <c r="G82" s="95"/>
      <c r="H82" s="95"/>
    </row>
    <row r="83" spans="1:8" s="117" customFormat="1" x14ac:dyDescent="0.2">
      <c r="A83" s="95"/>
      <c r="B83" s="95"/>
      <c r="C83" s="95"/>
      <c r="F83" s="95"/>
      <c r="G83" s="95"/>
      <c r="H83" s="95"/>
    </row>
    <row r="84" spans="1:8" s="117" customFormat="1" x14ac:dyDescent="0.2">
      <c r="A84" s="95"/>
      <c r="B84" s="95"/>
      <c r="C84" s="95"/>
      <c r="F84" s="95"/>
      <c r="G84" s="95"/>
      <c r="H84" s="95"/>
    </row>
    <row r="85" spans="1:8" s="117" customFormat="1" x14ac:dyDescent="0.2">
      <c r="A85" s="95"/>
      <c r="B85" s="95"/>
      <c r="C85" s="95"/>
      <c r="F85" s="95"/>
      <c r="G85" s="95"/>
      <c r="H85" s="95"/>
    </row>
    <row r="86" spans="1:8" s="117" customFormat="1" x14ac:dyDescent="0.2">
      <c r="A86" s="95"/>
      <c r="B86" s="95"/>
      <c r="C86" s="95"/>
      <c r="F86" s="95"/>
      <c r="G86" s="95"/>
      <c r="H86" s="95"/>
    </row>
    <row r="87" spans="1:8" s="117" customFormat="1" x14ac:dyDescent="0.2">
      <c r="A87" s="95"/>
      <c r="B87" s="95"/>
      <c r="C87" s="95"/>
      <c r="F87" s="95"/>
      <c r="G87" s="95"/>
      <c r="H87" s="95"/>
    </row>
    <row r="88" spans="1:8" s="117" customFormat="1" x14ac:dyDescent="0.2">
      <c r="A88" s="95"/>
      <c r="B88" s="95"/>
      <c r="C88" s="95"/>
      <c r="F88" s="95"/>
      <c r="G88" s="95"/>
      <c r="H88" s="95"/>
    </row>
    <row r="89" spans="1:8" s="117" customFormat="1" x14ac:dyDescent="0.2">
      <c r="A89" s="95"/>
      <c r="B89" s="95"/>
      <c r="C89" s="95"/>
      <c r="F89" s="95"/>
      <c r="G89" s="95"/>
      <c r="H89" s="95"/>
    </row>
  </sheetData>
  <mergeCells count="10">
    <mergeCell ref="A56:D56"/>
    <mergeCell ref="A59:D59"/>
    <mergeCell ref="A60:D60"/>
    <mergeCell ref="A4:D4"/>
    <mergeCell ref="A10:D10"/>
    <mergeCell ref="A55:D55"/>
    <mergeCell ref="A54:D54"/>
    <mergeCell ref="A7:D7"/>
    <mergeCell ref="A8:D8"/>
    <mergeCell ref="A9:D9"/>
  </mergeCells>
  <pageMargins left="0.75" right="0.75" top="1.41" bottom="0.64" header="0.46" footer="0"/>
  <pageSetup scale="8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5"/>
  </sheetPr>
  <dimension ref="A5:P55"/>
  <sheetViews>
    <sheetView topLeftCell="B7" zoomScaleNormal="100" workbookViewId="0">
      <selection activeCell="K23" sqref="K23"/>
    </sheetView>
  </sheetViews>
  <sheetFormatPr baseColWidth="10" defaultColWidth="11.42578125" defaultRowHeight="18.75" x14ac:dyDescent="0.3"/>
  <cols>
    <col min="1" max="1" width="11.42578125" style="222" hidden="1" customWidth="1"/>
    <col min="2" max="2" width="2.7109375" style="221" customWidth="1"/>
    <col min="3" max="3" width="49.42578125" style="221" customWidth="1"/>
    <col min="4" max="4" width="3.42578125" style="221" customWidth="1"/>
    <col min="5" max="5" width="19.42578125" style="224" bestFit="1" customWidth="1"/>
    <col min="6" max="6" width="8.140625" style="224" customWidth="1"/>
    <col min="7" max="7" width="14.140625" style="224" hidden="1" customWidth="1"/>
    <col min="8" max="8" width="1.7109375" style="224" hidden="1" customWidth="1"/>
    <col min="9" max="9" width="13.7109375" style="224" hidden="1" customWidth="1"/>
    <col min="10" max="10" width="1.28515625" style="224" customWidth="1"/>
    <col min="11" max="11" width="23.28515625" style="221" customWidth="1"/>
    <col min="12" max="12" width="10.42578125" style="221" customWidth="1"/>
    <col min="13" max="13" width="21.140625" style="221" bestFit="1" customWidth="1"/>
    <col min="14" max="14" width="3.7109375" style="221" customWidth="1"/>
    <col min="15" max="15" width="17.42578125" style="221" customWidth="1"/>
    <col min="16" max="16" width="13.140625" style="222" bestFit="1" customWidth="1"/>
    <col min="17" max="16384" width="11.42578125" style="222"/>
  </cols>
  <sheetData>
    <row r="5" spans="2:16" ht="15" customHeight="1" x14ac:dyDescent="0.2">
      <c r="B5" s="378" t="s">
        <v>300</v>
      </c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</row>
    <row r="6" spans="2:16" x14ac:dyDescent="0.2">
      <c r="B6" s="378" t="s">
        <v>117</v>
      </c>
      <c r="C6" s="378"/>
      <c r="D6" s="378"/>
      <c r="E6" s="378"/>
      <c r="F6" s="378"/>
      <c r="G6" s="378"/>
      <c r="H6" s="378"/>
      <c r="I6" s="378"/>
      <c r="J6" s="378"/>
      <c r="K6" s="378"/>
      <c r="L6" s="378"/>
      <c r="M6" s="378"/>
    </row>
    <row r="7" spans="2:16" x14ac:dyDescent="0.2">
      <c r="B7" s="378" t="s">
        <v>482</v>
      </c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8"/>
    </row>
    <row r="8" spans="2:16" x14ac:dyDescent="0.2">
      <c r="B8" s="378" t="s">
        <v>118</v>
      </c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</row>
    <row r="9" spans="2:16" x14ac:dyDescent="0.3">
      <c r="C9" s="223"/>
      <c r="D9" s="223"/>
      <c r="H9" s="225"/>
      <c r="L9" s="223"/>
    </row>
    <row r="10" spans="2:16" ht="90" x14ac:dyDescent="0.25">
      <c r="E10" s="226" t="s">
        <v>119</v>
      </c>
      <c r="F10" s="227"/>
      <c r="G10" s="226" t="s">
        <v>120</v>
      </c>
      <c r="H10" s="228"/>
      <c r="I10" s="226" t="s">
        <v>121</v>
      </c>
      <c r="J10" s="227"/>
      <c r="K10" s="226" t="s">
        <v>122</v>
      </c>
      <c r="L10" s="227"/>
      <c r="M10" s="226" t="s">
        <v>123</v>
      </c>
      <c r="N10" s="229"/>
      <c r="O10" s="229"/>
      <c r="P10" s="230"/>
    </row>
    <row r="11" spans="2:16" x14ac:dyDescent="0.25">
      <c r="C11" s="231" t="s">
        <v>388</v>
      </c>
      <c r="D11" s="229"/>
      <c r="E11" s="232">
        <v>46598841</v>
      </c>
      <c r="F11" s="233"/>
      <c r="G11" s="232">
        <v>0</v>
      </c>
      <c r="H11" s="234"/>
      <c r="I11" s="232">
        <v>0</v>
      </c>
      <c r="J11" s="233"/>
      <c r="K11" s="234">
        <f>+'BALANCE GENERAL'!D42</f>
        <v>89753228.00999999</v>
      </c>
      <c r="L11" s="234"/>
      <c r="M11" s="234">
        <f>SUM(E11:K11)</f>
        <v>136352069.00999999</v>
      </c>
      <c r="N11" s="234"/>
      <c r="O11" s="235"/>
      <c r="P11" s="236"/>
    </row>
    <row r="12" spans="2:16" s="238" customFormat="1" x14ac:dyDescent="0.3">
      <c r="B12" s="224"/>
      <c r="C12" s="229" t="s">
        <v>124</v>
      </c>
      <c r="D12" s="229"/>
      <c r="E12" s="232">
        <v>0</v>
      </c>
      <c r="F12" s="233"/>
      <c r="G12" s="232">
        <v>0</v>
      </c>
      <c r="H12" s="234"/>
      <c r="I12" s="232"/>
      <c r="J12" s="233"/>
      <c r="K12" s="232"/>
      <c r="L12" s="234"/>
      <c r="M12" s="232">
        <f>SUM(E12,G12,I12,K12)</f>
        <v>0</v>
      </c>
      <c r="N12" s="237"/>
      <c r="O12" s="224"/>
    </row>
    <row r="13" spans="2:16" s="238" customFormat="1" x14ac:dyDescent="0.3">
      <c r="B13" s="224"/>
      <c r="C13" s="229" t="s">
        <v>125</v>
      </c>
      <c r="D13" s="229"/>
      <c r="E13" s="232">
        <v>0</v>
      </c>
      <c r="F13" s="233"/>
      <c r="G13" s="232"/>
      <c r="H13" s="234"/>
      <c r="I13" s="232">
        <v>0</v>
      </c>
      <c r="J13" s="233"/>
      <c r="K13" s="232"/>
      <c r="L13" s="234"/>
      <c r="M13" s="232">
        <f>SUM(E13,G13,I13,K13)</f>
        <v>0</v>
      </c>
      <c r="N13" s="237"/>
      <c r="O13" s="224"/>
    </row>
    <row r="14" spans="2:16" x14ac:dyDescent="0.25">
      <c r="C14" s="229" t="s">
        <v>126</v>
      </c>
      <c r="D14" s="229"/>
      <c r="E14" s="232">
        <v>0</v>
      </c>
      <c r="F14" s="233"/>
      <c r="G14" s="232"/>
      <c r="H14" s="234"/>
      <c r="I14" s="232"/>
      <c r="J14" s="233"/>
      <c r="K14" s="234"/>
      <c r="L14" s="234"/>
      <c r="M14" s="234">
        <f>SUM(E14,G14,I14,K14)</f>
        <v>0</v>
      </c>
      <c r="N14" s="229"/>
      <c r="O14" s="239"/>
    </row>
    <row r="15" spans="2:16" x14ac:dyDescent="0.25">
      <c r="C15" s="229" t="s">
        <v>127</v>
      </c>
      <c r="D15" s="229"/>
      <c r="E15" s="240">
        <v>0</v>
      </c>
      <c r="F15" s="233"/>
      <c r="G15" s="232"/>
      <c r="H15" s="234"/>
      <c r="I15" s="232"/>
      <c r="J15" s="233"/>
      <c r="K15" s="241">
        <f>+'BALANCE GENERAL'!D41</f>
        <v>-17400947.41</v>
      </c>
      <c r="L15" s="234"/>
      <c r="M15" s="241">
        <f>SUM(E15,G15,I15,K15)</f>
        <v>-17400947.41</v>
      </c>
      <c r="N15" s="229"/>
      <c r="O15" s="239"/>
    </row>
    <row r="16" spans="2:16" ht="19.5" thickBot="1" x14ac:dyDescent="0.3">
      <c r="C16" s="231" t="s">
        <v>400</v>
      </c>
      <c r="D16" s="229"/>
      <c r="E16" s="257">
        <f>SUM(E11:E15)</f>
        <v>46598841</v>
      </c>
      <c r="F16" s="243"/>
      <c r="G16" s="242">
        <f>SUM(G11:G15)</f>
        <v>0</v>
      </c>
      <c r="H16" s="244"/>
      <c r="I16" s="242">
        <f>SUM(I11:I15)</f>
        <v>0</v>
      </c>
      <c r="J16" s="243"/>
      <c r="K16" s="250">
        <f>SUM(K11:K15)</f>
        <v>72352280.599999994</v>
      </c>
      <c r="L16" s="244"/>
      <c r="M16" s="248">
        <f>SUM(M11:M15)</f>
        <v>118951121.59999999</v>
      </c>
      <c r="N16" s="229"/>
      <c r="O16" s="256"/>
    </row>
    <row r="17" spans="2:15" ht="19.5" thickTop="1" x14ac:dyDescent="0.25">
      <c r="C17" s="229" t="s">
        <v>5</v>
      </c>
      <c r="D17" s="229"/>
      <c r="E17" s="232"/>
      <c r="F17" s="232"/>
      <c r="G17" s="232"/>
      <c r="H17" s="234"/>
      <c r="I17" s="232"/>
      <c r="J17" s="232"/>
      <c r="K17" s="234"/>
      <c r="L17" s="234"/>
      <c r="M17" s="234"/>
      <c r="N17" s="229"/>
    </row>
    <row r="18" spans="2:15" x14ac:dyDescent="0.25">
      <c r="C18" s="229"/>
      <c r="D18" s="229"/>
      <c r="E18" s="232"/>
      <c r="F18" s="232"/>
      <c r="G18" s="232"/>
      <c r="H18" s="234"/>
      <c r="I18" s="232"/>
      <c r="J18" s="232"/>
      <c r="K18" s="234"/>
      <c r="L18" s="234"/>
      <c r="M18" s="234"/>
      <c r="N18" s="229"/>
    </row>
    <row r="19" spans="2:15" s="238" customFormat="1" x14ac:dyDescent="0.3">
      <c r="B19" s="224"/>
      <c r="C19" s="245" t="s">
        <v>124</v>
      </c>
      <c r="D19" s="229"/>
      <c r="E19" s="232">
        <v>46598841</v>
      </c>
      <c r="F19" s="233"/>
      <c r="G19" s="232">
        <v>0</v>
      </c>
      <c r="H19" s="234"/>
      <c r="I19" s="232"/>
      <c r="J19" s="233"/>
      <c r="K19" s="232">
        <f>+'NOTAS '!F417</f>
        <v>40778558.289999999</v>
      </c>
      <c r="L19" s="234"/>
      <c r="M19" s="232">
        <f>SUM(E19,G19,I19,K19)-1</f>
        <v>87377398.289999992</v>
      </c>
      <c r="N19" s="237"/>
      <c r="O19" s="224"/>
    </row>
    <row r="20" spans="2:15" s="238" customFormat="1" ht="36" x14ac:dyDescent="0.3">
      <c r="B20" s="224"/>
      <c r="C20" s="245" t="s">
        <v>125</v>
      </c>
      <c r="D20" s="229"/>
      <c r="E20" s="232">
        <v>0</v>
      </c>
      <c r="F20" s="233"/>
      <c r="G20" s="232"/>
      <c r="H20" s="234"/>
      <c r="I20" s="232">
        <v>0</v>
      </c>
      <c r="J20" s="233"/>
      <c r="K20" s="232"/>
      <c r="L20" s="234"/>
      <c r="M20" s="232">
        <f>SUM(E20,G20,I20,K20)</f>
        <v>0</v>
      </c>
      <c r="N20" s="237"/>
      <c r="O20" s="224"/>
    </row>
    <row r="21" spans="2:15" s="238" customFormat="1" ht="36.75" x14ac:dyDescent="0.3">
      <c r="B21" s="224"/>
      <c r="C21" s="246" t="s">
        <v>128</v>
      </c>
      <c r="D21" s="229"/>
      <c r="E21" s="232">
        <v>0</v>
      </c>
      <c r="F21" s="233"/>
      <c r="G21" s="232"/>
      <c r="H21" s="234"/>
      <c r="I21" s="232">
        <v>0</v>
      </c>
      <c r="J21" s="233"/>
      <c r="K21" s="232">
        <v>0</v>
      </c>
      <c r="L21" s="234"/>
      <c r="M21" s="232">
        <f>SUM(E21,G21,I21,K21)</f>
        <v>0</v>
      </c>
      <c r="N21" s="237"/>
      <c r="O21" s="224"/>
    </row>
    <row r="22" spans="2:15" x14ac:dyDescent="0.25">
      <c r="C22" s="245" t="s">
        <v>126</v>
      </c>
      <c r="D22" s="229"/>
      <c r="E22" s="232">
        <v>0</v>
      </c>
      <c r="F22" s="233"/>
      <c r="G22" s="232"/>
      <c r="H22" s="234"/>
      <c r="I22" s="232"/>
      <c r="J22" s="233"/>
      <c r="K22" s="234">
        <v>0</v>
      </c>
      <c r="L22" s="234"/>
      <c r="M22" s="234">
        <f>SUM(E22,G22,I22,K22)</f>
        <v>0</v>
      </c>
      <c r="N22" s="229"/>
    </row>
    <row r="23" spans="2:15" x14ac:dyDescent="0.25">
      <c r="C23" s="245" t="s">
        <v>127</v>
      </c>
      <c r="D23" s="229"/>
      <c r="E23" s="240">
        <v>0</v>
      </c>
      <c r="F23" s="233"/>
      <c r="G23" s="232"/>
      <c r="H23" s="234"/>
      <c r="I23" s="232"/>
      <c r="J23" s="233"/>
      <c r="K23" s="247">
        <f>+'NOTAS '!F416</f>
        <v>-6944358.0599999996</v>
      </c>
      <c r="L23" s="234"/>
      <c r="M23" s="247">
        <f>SUM(E23,G23,I23,K23)</f>
        <v>-6944358.0599999996</v>
      </c>
      <c r="N23" s="229"/>
    </row>
    <row r="24" spans="2:15" ht="19.5" thickBot="1" x14ac:dyDescent="0.3">
      <c r="B24" s="223"/>
      <c r="C24" s="231" t="s">
        <v>483</v>
      </c>
      <c r="D24" s="229"/>
      <c r="E24" s="248">
        <f>SUM(E19:E23)</f>
        <v>46598841</v>
      </c>
      <c r="F24" s="249"/>
      <c r="G24" s="244">
        <f>SUM(G23,G16)</f>
        <v>0</v>
      </c>
      <c r="H24" s="232"/>
      <c r="I24" s="244">
        <f>SUM(I23,I16)</f>
        <v>0</v>
      </c>
      <c r="J24" s="249"/>
      <c r="K24" s="250">
        <f>SUM(K19:K23)</f>
        <v>33834200.229999997</v>
      </c>
      <c r="L24" s="234"/>
      <c r="M24" s="251">
        <f>SUM(M19:M23)</f>
        <v>80433040.229999989</v>
      </c>
      <c r="N24" s="229"/>
      <c r="O24" s="235"/>
    </row>
    <row r="25" spans="2:15" ht="19.5" thickTop="1" x14ac:dyDescent="0.3">
      <c r="B25" s="223"/>
      <c r="E25" s="252"/>
      <c r="F25" s="252"/>
      <c r="G25" s="252"/>
      <c r="H25" s="252"/>
      <c r="I25" s="252"/>
      <c r="J25" s="252"/>
      <c r="K25" s="239"/>
      <c r="L25" s="239"/>
      <c r="M25" s="239"/>
    </row>
    <row r="26" spans="2:15" s="253" customFormat="1" ht="18" hidden="1" x14ac:dyDescent="0.25">
      <c r="E26" s="254"/>
    </row>
    <row r="27" spans="2:15" s="253" customFormat="1" ht="18" hidden="1" x14ac:dyDescent="0.25">
      <c r="E27" s="254"/>
    </row>
    <row r="28" spans="2:15" s="253" customFormat="1" ht="18" hidden="1" x14ac:dyDescent="0.25"/>
    <row r="29" spans="2:15" s="253" customFormat="1" ht="18" hidden="1" x14ac:dyDescent="0.25"/>
    <row r="30" spans="2:15" s="253" customFormat="1" ht="18" hidden="1" x14ac:dyDescent="0.25"/>
    <row r="31" spans="2:15" s="253" customFormat="1" ht="18" hidden="1" x14ac:dyDescent="0.25"/>
    <row r="32" spans="2:15" s="253" customFormat="1" ht="18" hidden="1" x14ac:dyDescent="0.25"/>
    <row r="33" spans="2:13" s="253" customFormat="1" ht="18" hidden="1" x14ac:dyDescent="0.25"/>
    <row r="34" spans="2:13" s="253" customFormat="1" ht="18" hidden="1" x14ac:dyDescent="0.25"/>
    <row r="35" spans="2:13" s="253" customFormat="1" ht="18" hidden="1" x14ac:dyDescent="0.25"/>
    <row r="36" spans="2:13" s="253" customFormat="1" ht="18" hidden="1" x14ac:dyDescent="0.25"/>
    <row r="37" spans="2:13" hidden="1" x14ac:dyDescent="0.3">
      <c r="B37" s="223"/>
      <c r="E37" s="252"/>
      <c r="F37" s="252"/>
      <c r="G37" s="252"/>
      <c r="H37" s="252"/>
      <c r="I37" s="252"/>
      <c r="J37" s="252"/>
      <c r="K37" s="239"/>
      <c r="L37" s="239"/>
      <c r="M37" s="239"/>
    </row>
    <row r="38" spans="2:13" x14ac:dyDescent="0.3">
      <c r="K38" s="256"/>
      <c r="M38" s="239"/>
    </row>
    <row r="40" spans="2:13" s="17" customFormat="1" ht="12.75" x14ac:dyDescent="0.2"/>
    <row r="41" spans="2:13" s="253" customFormat="1" x14ac:dyDescent="0.3">
      <c r="C41" s="286" t="s">
        <v>328</v>
      </c>
      <c r="D41" s="221"/>
      <c r="E41" s="224"/>
      <c r="F41" s="224"/>
      <c r="G41" s="224"/>
      <c r="H41" s="224"/>
      <c r="I41" s="224"/>
      <c r="J41" s="224"/>
      <c r="K41" s="221"/>
    </row>
    <row r="42" spans="2:13" s="253" customFormat="1" ht="18" x14ac:dyDescent="0.25">
      <c r="D42" s="254"/>
    </row>
    <row r="43" spans="2:13" s="253" customFormat="1" ht="18" x14ac:dyDescent="0.25"/>
    <row r="44" spans="2:13" s="253" customFormat="1" ht="18" x14ac:dyDescent="0.25"/>
    <row r="45" spans="2:13" s="253" customFormat="1" ht="18" x14ac:dyDescent="0.25"/>
    <row r="46" spans="2:13" s="253" customFormat="1" ht="18" x14ac:dyDescent="0.25"/>
    <row r="47" spans="2:13" s="253" customFormat="1" ht="18" x14ac:dyDescent="0.25"/>
    <row r="48" spans="2:13" s="253" customFormat="1" ht="18" x14ac:dyDescent="0.25"/>
    <row r="49" spans="3:15" s="253" customFormat="1" ht="18" x14ac:dyDescent="0.25"/>
    <row r="50" spans="3:15" s="253" customFormat="1" ht="18" x14ac:dyDescent="0.25"/>
    <row r="51" spans="3:15" s="253" customFormat="1" ht="18" x14ac:dyDescent="0.25"/>
    <row r="52" spans="3:15" x14ac:dyDescent="0.3">
      <c r="D52" s="252"/>
      <c r="E52" s="252"/>
      <c r="F52" s="252"/>
      <c r="G52" s="252"/>
      <c r="H52" s="252"/>
      <c r="I52" s="252"/>
      <c r="J52" s="239"/>
      <c r="K52" s="239"/>
      <c r="L52" s="239"/>
      <c r="O52" s="222"/>
    </row>
    <row r="53" spans="3:15" s="17" customFormat="1" ht="12.75" x14ac:dyDescent="0.2"/>
    <row r="54" spans="3:15" s="17" customFormat="1" ht="12.75" x14ac:dyDescent="0.2"/>
    <row r="55" spans="3:15" x14ac:dyDescent="0.3">
      <c r="C55" s="286"/>
    </row>
  </sheetData>
  <mergeCells count="4">
    <mergeCell ref="B8:M8"/>
    <mergeCell ref="B5:M5"/>
    <mergeCell ref="B6:M6"/>
    <mergeCell ref="B7:M7"/>
  </mergeCells>
  <phoneticPr fontId="5" type="noConversion"/>
  <pageMargins left="1.1000000000000001" right="0.74803149606299213" top="0.4" bottom="0.24" header="0.24" footer="0"/>
  <pageSetup scale="7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9"/>
  <sheetViews>
    <sheetView topLeftCell="A7" workbookViewId="0">
      <selection activeCell="E53" sqref="E53"/>
    </sheetView>
  </sheetViews>
  <sheetFormatPr baseColWidth="10" defaultColWidth="11.5703125" defaultRowHeight="12.75" x14ac:dyDescent="0.2"/>
  <cols>
    <col min="1" max="1" width="3.140625" style="17" customWidth="1"/>
    <col min="2" max="2" width="6.140625" style="17" customWidth="1"/>
    <col min="3" max="3" width="32" style="17" customWidth="1"/>
    <col min="4" max="4" width="22" style="17" customWidth="1"/>
    <col min="5" max="5" width="23.42578125" style="17" customWidth="1"/>
    <col min="6" max="6" width="14.28515625" style="17" customWidth="1"/>
    <col min="7" max="7" width="21.28515625" style="17" customWidth="1"/>
    <col min="8" max="8" width="11.5703125" style="17" hidden="1" customWidth="1"/>
    <col min="9" max="9" width="18.42578125" style="17" bestFit="1" customWidth="1"/>
    <col min="10" max="16384" width="11.5703125" style="17"/>
  </cols>
  <sheetData>
    <row r="1" spans="1:9" ht="14.25" x14ac:dyDescent="0.2">
      <c r="A1" s="379" t="s">
        <v>300</v>
      </c>
      <c r="B1" s="379"/>
      <c r="C1" s="379"/>
      <c r="D1" s="379"/>
      <c r="E1" s="379"/>
      <c r="F1" s="379"/>
      <c r="G1" s="379"/>
    </row>
    <row r="2" spans="1:9" ht="14.25" x14ac:dyDescent="0.2">
      <c r="A2" s="381" t="s">
        <v>129</v>
      </c>
      <c r="B2" s="381"/>
      <c r="C2" s="381"/>
      <c r="D2" s="381"/>
      <c r="E2" s="381"/>
      <c r="F2" s="381"/>
      <c r="G2" s="381"/>
      <c r="H2" s="16"/>
      <c r="I2" s="16"/>
    </row>
    <row r="3" spans="1:9" ht="14.25" x14ac:dyDescent="0.2">
      <c r="A3" s="381" t="s">
        <v>499</v>
      </c>
      <c r="B3" s="381"/>
      <c r="C3" s="381"/>
      <c r="D3" s="381"/>
      <c r="E3" s="381"/>
      <c r="F3" s="381"/>
      <c r="G3" s="381"/>
      <c r="H3" s="16"/>
      <c r="I3" s="16"/>
    </row>
    <row r="4" spans="1:9" ht="14.25" x14ac:dyDescent="0.2">
      <c r="A4" s="381" t="s">
        <v>130</v>
      </c>
      <c r="B4" s="381"/>
      <c r="C4" s="381"/>
      <c r="D4" s="381"/>
      <c r="E4" s="381"/>
      <c r="F4" s="381"/>
      <c r="G4" s="381"/>
      <c r="H4" s="16"/>
      <c r="I4" s="16"/>
    </row>
    <row r="5" spans="1:9" ht="14.25" x14ac:dyDescent="0.2">
      <c r="A5" s="382" t="s">
        <v>131</v>
      </c>
      <c r="B5" s="382"/>
      <c r="C5" s="382"/>
      <c r="D5" s="382"/>
      <c r="E5" s="382"/>
      <c r="F5" s="382"/>
      <c r="G5" s="382"/>
      <c r="H5" s="18"/>
      <c r="I5" s="18"/>
    </row>
    <row r="6" spans="1:9" ht="14.25" x14ac:dyDescent="0.2">
      <c r="A6" s="28"/>
      <c r="B6" s="382"/>
      <c r="C6" s="382"/>
      <c r="D6" s="382"/>
      <c r="E6" s="382"/>
      <c r="F6" s="382"/>
      <c r="G6" s="382"/>
      <c r="H6" s="18"/>
      <c r="I6" s="18"/>
    </row>
    <row r="7" spans="1:9" s="29" customFormat="1" ht="42.75" x14ac:dyDescent="0.25">
      <c r="B7" s="380" t="s">
        <v>132</v>
      </c>
      <c r="C7" s="380"/>
      <c r="D7" s="30" t="s">
        <v>133</v>
      </c>
      <c r="E7" s="30" t="s">
        <v>134</v>
      </c>
      <c r="F7" s="30" t="s">
        <v>135</v>
      </c>
      <c r="G7" s="30" t="s">
        <v>136</v>
      </c>
      <c r="I7" s="301"/>
    </row>
    <row r="8" spans="1:9" s="29" customFormat="1" ht="15" x14ac:dyDescent="0.25">
      <c r="B8" s="31">
        <v>1</v>
      </c>
      <c r="C8" s="32" t="s">
        <v>137</v>
      </c>
      <c r="D8" s="86">
        <f>SUM(D9:D12)</f>
        <v>376550620</v>
      </c>
      <c r="E8" s="86">
        <f>SUM(E9:E11)</f>
        <v>137352132.52000001</v>
      </c>
      <c r="F8" s="33">
        <f t="shared" ref="F8:F19" si="0">+E8/D8</f>
        <v>0.36476405886677338</v>
      </c>
      <c r="G8" s="86">
        <f>+D8-E8</f>
        <v>239198487.47999999</v>
      </c>
    </row>
    <row r="9" spans="1:9" ht="15" x14ac:dyDescent="0.25">
      <c r="B9" s="20">
        <v>1.3</v>
      </c>
      <c r="C9" s="21" t="s">
        <v>138</v>
      </c>
      <c r="D9" s="87">
        <v>0</v>
      </c>
      <c r="E9" s="87">
        <v>0</v>
      </c>
      <c r="F9" s="33">
        <v>0</v>
      </c>
      <c r="G9" s="87">
        <f>+D9-E9</f>
        <v>0</v>
      </c>
    </row>
    <row r="10" spans="1:9" ht="15" x14ac:dyDescent="0.25">
      <c r="B10" s="20">
        <v>1.4</v>
      </c>
      <c r="C10" s="21" t="s">
        <v>139</v>
      </c>
      <c r="D10" s="87">
        <f>67478631+4500000</f>
        <v>71978631</v>
      </c>
      <c r="E10" s="88">
        <f>33603312+2250000</f>
        <v>35853312</v>
      </c>
      <c r="F10" s="19">
        <f t="shared" si="0"/>
        <v>0.49811050171265414</v>
      </c>
      <c r="G10" s="87">
        <f>+D10-E10</f>
        <v>36125319</v>
      </c>
    </row>
    <row r="11" spans="1:9" ht="15" x14ac:dyDescent="0.25">
      <c r="B11" s="20">
        <v>1.5</v>
      </c>
      <c r="C11" s="21" t="s">
        <v>140</v>
      </c>
      <c r="D11" s="87">
        <f>215000000</f>
        <v>215000000</v>
      </c>
      <c r="E11" s="88">
        <f>137352132.52-35853312</f>
        <v>101498820.52000001</v>
      </c>
      <c r="F11" s="19">
        <f t="shared" si="0"/>
        <v>0.47208753730232561</v>
      </c>
      <c r="G11" s="87">
        <f t="shared" ref="G11:G22" si="1">+D11-E11</f>
        <v>113501179.47999999</v>
      </c>
    </row>
    <row r="12" spans="1:9" ht="15" x14ac:dyDescent="0.25">
      <c r="B12" s="327">
        <v>3</v>
      </c>
      <c r="C12" s="328" t="s">
        <v>500</v>
      </c>
      <c r="D12" s="86">
        <f>+D13</f>
        <v>89571989</v>
      </c>
      <c r="E12" s="87">
        <v>0</v>
      </c>
      <c r="F12" s="19"/>
      <c r="G12" s="87">
        <v>0</v>
      </c>
    </row>
    <row r="13" spans="1:9" ht="15" x14ac:dyDescent="0.25">
      <c r="B13" s="20">
        <v>3.1</v>
      </c>
      <c r="C13" s="21" t="s">
        <v>501</v>
      </c>
      <c r="D13" s="87">
        <v>89571989</v>
      </c>
      <c r="E13" s="87"/>
      <c r="F13" s="19"/>
      <c r="G13" s="87"/>
    </row>
    <row r="14" spans="1:9" s="29" customFormat="1" ht="15" x14ac:dyDescent="0.25">
      <c r="B14" s="31">
        <v>2</v>
      </c>
      <c r="C14" s="32" t="s">
        <v>141</v>
      </c>
      <c r="D14" s="86">
        <f>SUM(D15:D22)</f>
        <v>376550620</v>
      </c>
      <c r="E14" s="86">
        <f>SUM(E15:E22)</f>
        <v>115347588.72000001</v>
      </c>
      <c r="F14" s="33">
        <f t="shared" si="0"/>
        <v>0.30632691222231956</v>
      </c>
      <c r="G14" s="86">
        <f t="shared" ref="G14:G21" si="2">+D14-E14</f>
        <v>261203031.27999997</v>
      </c>
    </row>
    <row r="15" spans="1:9" ht="15" x14ac:dyDescent="0.25">
      <c r="B15" s="20">
        <v>2.1</v>
      </c>
      <c r="C15" s="21" t="s">
        <v>142</v>
      </c>
      <c r="D15" s="87">
        <v>187606000</v>
      </c>
      <c r="E15" s="87">
        <f>76223760.03+1290528</f>
        <v>77514288.030000001</v>
      </c>
      <c r="F15" s="22">
        <f t="shared" si="0"/>
        <v>0.41317595402066032</v>
      </c>
      <c r="G15" s="87">
        <f t="shared" si="2"/>
        <v>110091711.97</v>
      </c>
    </row>
    <row r="16" spans="1:9" ht="15" x14ac:dyDescent="0.25">
      <c r="B16" s="20">
        <v>2.2000000000000002</v>
      </c>
      <c r="C16" s="21" t="s">
        <v>143</v>
      </c>
      <c r="D16" s="87">
        <v>130009989</v>
      </c>
      <c r="E16" s="87">
        <f>4526386.26+22160701.51</f>
        <v>26687087.770000003</v>
      </c>
      <c r="F16" s="22">
        <f t="shared" si="0"/>
        <v>0.20526951794450196</v>
      </c>
      <c r="G16" s="87">
        <f t="shared" si="2"/>
        <v>103322901.22999999</v>
      </c>
      <c r="I16" s="81"/>
    </row>
    <row r="17" spans="2:9" ht="15" x14ac:dyDescent="0.25">
      <c r="B17" s="20">
        <v>2.2999999999999998</v>
      </c>
      <c r="C17" s="21" t="s">
        <v>144</v>
      </c>
      <c r="D17" s="87">
        <v>32129631</v>
      </c>
      <c r="E17" s="87">
        <f>386706+7017479.65</f>
        <v>7404185.6500000004</v>
      </c>
      <c r="F17" s="22">
        <f t="shared" si="0"/>
        <v>0.23044726688582262</v>
      </c>
      <c r="G17" s="87">
        <f t="shared" si="2"/>
        <v>24725445.350000001</v>
      </c>
      <c r="I17" s="24"/>
    </row>
    <row r="18" spans="2:9" ht="15" x14ac:dyDescent="0.25">
      <c r="B18" s="20">
        <v>2.4</v>
      </c>
      <c r="C18" s="21" t="s">
        <v>145</v>
      </c>
      <c r="D18" s="87">
        <v>15305000</v>
      </c>
      <c r="E18" s="87">
        <f>1247851.24+408292</f>
        <v>1656143.24</v>
      </c>
      <c r="F18" s="22">
        <f t="shared" si="0"/>
        <v>0.10820929369487095</v>
      </c>
      <c r="G18" s="87">
        <f t="shared" si="2"/>
        <v>13648856.76</v>
      </c>
      <c r="I18" s="85"/>
    </row>
    <row r="19" spans="2:9" ht="15.6" customHeight="1" x14ac:dyDescent="0.25">
      <c r="B19" s="20">
        <v>2.6</v>
      </c>
      <c r="C19" s="21" t="s">
        <v>146</v>
      </c>
      <c r="D19" s="87">
        <v>11500000</v>
      </c>
      <c r="E19" s="87">
        <v>2085884.03</v>
      </c>
      <c r="F19" s="22">
        <f t="shared" si="0"/>
        <v>0.18138122000000001</v>
      </c>
      <c r="G19" s="87">
        <f t="shared" si="2"/>
        <v>9414115.9700000007</v>
      </c>
      <c r="I19" s="81"/>
    </row>
    <row r="20" spans="2:9" ht="12" customHeight="1" x14ac:dyDescent="0.25">
      <c r="B20" s="20">
        <v>2.7</v>
      </c>
      <c r="C20" s="21" t="s">
        <v>389</v>
      </c>
      <c r="D20" s="87">
        <v>0</v>
      </c>
      <c r="E20" s="87">
        <v>0</v>
      </c>
      <c r="F20" s="22"/>
      <c r="G20" s="87"/>
      <c r="I20" s="81"/>
    </row>
    <row r="21" spans="2:9" ht="15" hidden="1" x14ac:dyDescent="0.25">
      <c r="B21" s="20">
        <v>4.2</v>
      </c>
      <c r="C21" s="21" t="s">
        <v>161</v>
      </c>
      <c r="D21" s="181"/>
      <c r="E21" s="181">
        <v>0</v>
      </c>
      <c r="F21" s="22">
        <v>0</v>
      </c>
      <c r="G21" s="87">
        <f t="shared" si="2"/>
        <v>0</v>
      </c>
      <c r="I21" s="84"/>
    </row>
    <row r="22" spans="2:9" ht="15" hidden="1" x14ac:dyDescent="0.25">
      <c r="B22" s="20">
        <v>4.3</v>
      </c>
      <c r="C22" s="21" t="s">
        <v>173</v>
      </c>
      <c r="D22" s="87">
        <v>0</v>
      </c>
      <c r="E22" s="87">
        <v>0</v>
      </c>
      <c r="F22" s="22">
        <v>0</v>
      </c>
      <c r="G22" s="87">
        <f t="shared" si="1"/>
        <v>0</v>
      </c>
      <c r="I22" s="84"/>
    </row>
    <row r="23" spans="2:9" ht="14.25" x14ac:dyDescent="0.2">
      <c r="B23" s="25"/>
      <c r="C23" s="26" t="s">
        <v>147</v>
      </c>
      <c r="D23" s="27">
        <f>+D8-D14</f>
        <v>0</v>
      </c>
      <c r="E23" s="340">
        <f>+E8-E14</f>
        <v>22004543.799999997</v>
      </c>
      <c r="F23" s="27">
        <f>+F8-F14</f>
        <v>5.8437146644453819E-2</v>
      </c>
      <c r="G23" s="89">
        <f>+G8-G14</f>
        <v>-22004543.799999982</v>
      </c>
      <c r="I23" s="24"/>
    </row>
    <row r="24" spans="2:9" ht="6" customHeight="1" x14ac:dyDescent="0.2">
      <c r="C24" s="267"/>
      <c r="D24" s="267"/>
      <c r="E24" s="268"/>
      <c r="I24" s="23"/>
    </row>
    <row r="25" spans="2:9" hidden="1" x14ac:dyDescent="0.2">
      <c r="C25" s="267"/>
      <c r="D25" s="268"/>
      <c r="E25" s="268"/>
    </row>
    <row r="26" spans="2:9" s="1" customFormat="1" hidden="1" x14ac:dyDescent="0.2">
      <c r="F26" s="15"/>
    </row>
    <row r="27" spans="2:9" s="1" customFormat="1" hidden="1" x14ac:dyDescent="0.2">
      <c r="F27" s="15"/>
    </row>
    <row r="28" spans="2:9" s="1" customFormat="1" hidden="1" x14ac:dyDescent="0.2"/>
    <row r="29" spans="2:9" s="1" customFormat="1" hidden="1" x14ac:dyDescent="0.2"/>
    <row r="30" spans="2:9" s="1" customFormat="1" hidden="1" x14ac:dyDescent="0.2"/>
    <row r="31" spans="2:9" s="1" customFormat="1" hidden="1" x14ac:dyDescent="0.2"/>
    <row r="32" spans="2:9" s="1" customFormat="1" hidden="1" x14ac:dyDescent="0.2"/>
    <row r="33" spans="1:16" s="1" customFormat="1" hidden="1" x14ac:dyDescent="0.2"/>
    <row r="34" spans="1:16" s="1" customFormat="1" hidden="1" x14ac:dyDescent="0.2"/>
    <row r="35" spans="1:16" s="1" customFormat="1" hidden="1" x14ac:dyDescent="0.2"/>
    <row r="36" spans="1:16" s="1" customFormat="1" hidden="1" x14ac:dyDescent="0.2"/>
    <row r="37" spans="1:16" s="11" customFormat="1" ht="15" hidden="1" x14ac:dyDescent="0.25">
      <c r="B37" s="10"/>
      <c r="C37" s="269"/>
      <c r="D37" s="10"/>
      <c r="E37" s="10"/>
      <c r="F37" s="14"/>
      <c r="G37" s="14"/>
      <c r="H37" s="14"/>
      <c r="I37" s="14"/>
      <c r="J37" s="14"/>
      <c r="K37" s="14"/>
      <c r="L37" s="13"/>
      <c r="M37" s="13"/>
      <c r="N37" s="13"/>
      <c r="O37" s="10"/>
      <c r="P37" s="10"/>
    </row>
    <row r="38" spans="1:16" hidden="1" x14ac:dyDescent="0.2">
      <c r="C38" s="267"/>
      <c r="D38" s="267"/>
      <c r="E38" s="267"/>
    </row>
    <row r="39" spans="1:16" x14ac:dyDescent="0.2">
      <c r="C39" s="267" t="s">
        <v>396</v>
      </c>
      <c r="D39" s="291">
        <f>+E8</f>
        <v>137352132.52000001</v>
      </c>
    </row>
    <row r="40" spans="1:16" x14ac:dyDescent="0.2">
      <c r="C40" s="267" t="s">
        <v>515</v>
      </c>
      <c r="D40" s="291">
        <f>144296490.56-3570951.76-54056.15-503705.7-146058.85-2988677.64</f>
        <v>137033040.46000004</v>
      </c>
    </row>
    <row r="41" spans="1:16" x14ac:dyDescent="0.2">
      <c r="C41" s="294" t="s">
        <v>516</v>
      </c>
      <c r="D41" s="292">
        <f>+D39-D40</f>
        <v>319092.05999997258</v>
      </c>
    </row>
    <row r="42" spans="1:16" ht="15" customHeight="1" x14ac:dyDescent="0.2">
      <c r="C42" s="267" t="s">
        <v>517</v>
      </c>
      <c r="D42" s="267"/>
      <c r="E42" s="117">
        <v>135566107.27000001</v>
      </c>
    </row>
    <row r="43" spans="1:16" x14ac:dyDescent="0.2">
      <c r="C43" s="267" t="s">
        <v>518</v>
      </c>
      <c r="D43" s="119"/>
      <c r="E43" s="117">
        <f>+E14</f>
        <v>115347588.72000001</v>
      </c>
    </row>
    <row r="44" spans="1:16" x14ac:dyDescent="0.2">
      <c r="C44" s="267" t="s">
        <v>519</v>
      </c>
      <c r="D44" s="119"/>
      <c r="E44" s="178">
        <f>+E42-E43</f>
        <v>20218518.549999997</v>
      </c>
    </row>
    <row r="45" spans="1:16" x14ac:dyDescent="0.2">
      <c r="A45" s="119"/>
      <c r="C45" s="294" t="s">
        <v>520</v>
      </c>
      <c r="D45" s="336"/>
      <c r="E45" s="334">
        <f>+E23-E44-D41</f>
        <v>1466933.1900000274</v>
      </c>
    </row>
    <row r="46" spans="1:16" ht="9" customHeight="1" x14ac:dyDescent="0.2">
      <c r="A46" s="119"/>
      <c r="C46" s="294"/>
      <c r="D46" s="336"/>
      <c r="E46" s="334"/>
    </row>
    <row r="47" spans="1:16" ht="13.5" customHeight="1" x14ac:dyDescent="0.2">
      <c r="C47" s="267" t="s">
        <v>502</v>
      </c>
      <c r="D47" s="117">
        <v>14741093.699999999</v>
      </c>
      <c r="E47" s="334"/>
    </row>
    <row r="48" spans="1:16" s="253" customFormat="1" ht="10.5" customHeight="1" x14ac:dyDescent="0.25">
      <c r="A48" s="17"/>
      <c r="C48" s="95" t="s">
        <v>513</v>
      </c>
      <c r="D48" s="178">
        <v>3692498.34</v>
      </c>
      <c r="E48" s="335"/>
    </row>
    <row r="49" spans="1:5" s="253" customFormat="1" ht="12" customHeight="1" x14ac:dyDescent="0.25">
      <c r="C49" s="95" t="s">
        <v>514</v>
      </c>
      <c r="D49" s="293">
        <v>3570951.76</v>
      </c>
      <c r="E49" s="325"/>
    </row>
    <row r="50" spans="1:5" s="253" customFormat="1" ht="13.5" customHeight="1" x14ac:dyDescent="0.25">
      <c r="D50" s="340">
        <f>SUM(D47:D49)</f>
        <v>22004543.799999997</v>
      </c>
      <c r="E50" s="326"/>
    </row>
    <row r="51" spans="1:5" s="253" customFormat="1" ht="18" x14ac:dyDescent="0.25">
      <c r="D51" s="326"/>
      <c r="E51" s="326"/>
    </row>
    <row r="52" spans="1:5" s="253" customFormat="1" ht="18" x14ac:dyDescent="0.25"/>
    <row r="53" spans="1:5" s="253" customFormat="1" ht="18" x14ac:dyDescent="0.25"/>
    <row r="54" spans="1:5" s="253" customFormat="1" ht="18" x14ac:dyDescent="0.25"/>
    <row r="55" spans="1:5" s="253" customFormat="1" ht="18" x14ac:dyDescent="0.25"/>
    <row r="56" spans="1:5" s="253" customFormat="1" ht="18" x14ac:dyDescent="0.25"/>
    <row r="57" spans="1:5" s="253" customFormat="1" ht="18" x14ac:dyDescent="0.25"/>
    <row r="58" spans="1:5" s="253" customFormat="1" ht="18" x14ac:dyDescent="0.25"/>
    <row r="59" spans="1:5" ht="18" x14ac:dyDescent="0.25">
      <c r="A59" s="253"/>
    </row>
  </sheetData>
  <mergeCells count="7">
    <mergeCell ref="A1:G1"/>
    <mergeCell ref="B7:C7"/>
    <mergeCell ref="A2:G2"/>
    <mergeCell ref="A3:G3"/>
    <mergeCell ref="A4:G4"/>
    <mergeCell ref="A5:G5"/>
    <mergeCell ref="B6:G6"/>
  </mergeCells>
  <pageMargins left="0.70866141732283472" right="0.70866141732283472" top="0.4" bottom="0.3" header="0.17" footer="0.17"/>
  <pageSetup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847"/>
  <sheetViews>
    <sheetView showWhiteSpace="0" view="pageBreakPreview" topLeftCell="A566" zoomScale="96" zoomScaleNormal="96" zoomScaleSheetLayoutView="96" zoomScalePageLayoutView="73" workbookViewId="0">
      <selection activeCell="A566" sqref="A1:XFD1048576"/>
    </sheetView>
  </sheetViews>
  <sheetFormatPr baseColWidth="10" defaultColWidth="11.7109375" defaultRowHeight="21" x14ac:dyDescent="0.35"/>
  <cols>
    <col min="1" max="1" width="12.5703125" style="34" customWidth="1"/>
    <col min="2" max="2" width="10.140625" style="34" customWidth="1"/>
    <col min="3" max="3" width="29.85546875" style="34" customWidth="1"/>
    <col min="4" max="4" width="24.85546875" style="34" customWidth="1"/>
    <col min="5" max="5" width="25.85546875" style="34" customWidth="1"/>
    <col min="6" max="6" width="27.7109375" style="35" customWidth="1"/>
    <col min="7" max="7" width="1.140625" style="35" hidden="1" customWidth="1"/>
    <col min="8" max="8" width="33.7109375" style="35" customWidth="1"/>
    <col min="9" max="9" width="16.85546875" style="34" hidden="1" customWidth="1"/>
    <col min="10" max="10" width="25.5703125" style="65" hidden="1" customWidth="1"/>
    <col min="11" max="11" width="0" style="34" hidden="1" customWidth="1"/>
    <col min="12" max="12" width="23.7109375" style="34" hidden="1" customWidth="1"/>
    <col min="13" max="15" width="0" style="34" hidden="1" customWidth="1"/>
    <col min="16" max="16" width="11.7109375" style="34"/>
    <col min="17" max="17" width="27.28515625" style="34" hidden="1" customWidth="1"/>
    <col min="18" max="18" width="0" style="34" hidden="1" customWidth="1"/>
    <col min="19" max="19" width="19.42578125" style="34" hidden="1" customWidth="1"/>
    <col min="20" max="21" width="27.28515625" style="34" bestFit="1" customWidth="1"/>
    <col min="22" max="16384" width="11.7109375" style="34"/>
  </cols>
  <sheetData>
    <row r="1" spans="1:16" ht="21" customHeight="1" x14ac:dyDescent="0.35">
      <c r="C1" s="341" t="s">
        <v>209</v>
      </c>
      <c r="D1" s="341"/>
      <c r="E1" s="341"/>
      <c r="F1" s="341"/>
    </row>
    <row r="2" spans="1:16" ht="21" customHeight="1" x14ac:dyDescent="0.35">
      <c r="C2" s="342" t="s">
        <v>441</v>
      </c>
      <c r="D2" s="342"/>
      <c r="E2" s="342"/>
      <c r="F2" s="342"/>
      <c r="G2" s="34"/>
    </row>
    <row r="3" spans="1:16" x14ac:dyDescent="0.35">
      <c r="C3" s="342" t="s">
        <v>210</v>
      </c>
      <c r="D3" s="342"/>
      <c r="E3" s="342"/>
      <c r="F3" s="342"/>
      <c r="G3" s="34"/>
    </row>
    <row r="4" spans="1:16" x14ac:dyDescent="0.35">
      <c r="A4" s="146"/>
    </row>
    <row r="5" spans="1:16" ht="22.15" customHeight="1" x14ac:dyDescent="0.35">
      <c r="A5" s="147" t="s">
        <v>211</v>
      </c>
    </row>
    <row r="6" spans="1:16" ht="22.15" customHeight="1" x14ac:dyDescent="0.35">
      <c r="A6" s="147"/>
    </row>
    <row r="7" spans="1:16" ht="22.15" customHeight="1" x14ac:dyDescent="0.35">
      <c r="A7" s="310" t="s">
        <v>212</v>
      </c>
      <c r="B7" s="310"/>
      <c r="C7" s="310"/>
      <c r="D7" s="310"/>
      <c r="E7" s="310"/>
      <c r="F7" s="310"/>
      <c r="G7" s="306"/>
      <c r="H7" s="306"/>
    </row>
    <row r="8" spans="1:16" ht="22.15" customHeight="1" x14ac:dyDescent="0.35">
      <c r="A8" s="309" t="s">
        <v>446</v>
      </c>
      <c r="B8" s="309"/>
      <c r="C8" s="309"/>
      <c r="D8" s="309"/>
      <c r="E8" s="309"/>
      <c r="F8" s="309"/>
      <c r="G8" s="306"/>
      <c r="H8" s="306"/>
    </row>
    <row r="9" spans="1:16" ht="22.15" customHeight="1" x14ac:dyDescent="0.35">
      <c r="A9" s="309" t="s">
        <v>447</v>
      </c>
      <c r="B9" s="309"/>
      <c r="C9" s="309"/>
      <c r="D9" s="309"/>
      <c r="E9" s="309"/>
      <c r="F9" s="309"/>
      <c r="G9" s="306"/>
      <c r="H9" s="306"/>
    </row>
    <row r="10" spans="1:16" ht="22.15" customHeight="1" x14ac:dyDescent="0.35">
      <c r="A10" s="348" t="s">
        <v>214</v>
      </c>
      <c r="B10" s="348"/>
      <c r="C10" s="348"/>
      <c r="D10" s="348"/>
      <c r="E10" s="348"/>
      <c r="F10" s="348"/>
      <c r="G10" s="306"/>
      <c r="H10" s="306"/>
    </row>
    <row r="11" spans="1:16" ht="22.15" customHeight="1" x14ac:dyDescent="0.35">
      <c r="A11" s="305"/>
      <c r="B11" s="305"/>
      <c r="C11" s="305"/>
      <c r="D11" s="305"/>
      <c r="E11" s="305"/>
      <c r="F11" s="305"/>
      <c r="G11" s="306"/>
      <c r="H11" s="306"/>
    </row>
    <row r="12" spans="1:16" ht="22.15" customHeight="1" x14ac:dyDescent="0.35">
      <c r="A12" s="348" t="s">
        <v>213</v>
      </c>
      <c r="B12" s="348"/>
      <c r="C12" s="348"/>
      <c r="D12" s="348"/>
      <c r="E12" s="348"/>
      <c r="F12" s="348"/>
      <c r="G12" s="306"/>
      <c r="H12" s="306"/>
      <c r="I12" s="307"/>
      <c r="J12" s="308"/>
      <c r="K12" s="307"/>
      <c r="L12" s="307"/>
      <c r="M12" s="307"/>
      <c r="N12" s="307"/>
      <c r="O12" s="307"/>
      <c r="P12" s="307"/>
    </row>
    <row r="13" spans="1:16" ht="22.15" customHeight="1" x14ac:dyDescent="0.35">
      <c r="A13" s="309" t="s">
        <v>258</v>
      </c>
      <c r="B13" s="309"/>
      <c r="C13" s="309"/>
      <c r="D13" s="309"/>
      <c r="E13" s="309"/>
      <c r="F13" s="309"/>
      <c r="G13" s="306"/>
      <c r="H13" s="306"/>
      <c r="I13" s="307"/>
      <c r="J13" s="308"/>
      <c r="K13" s="307"/>
      <c r="L13" s="307"/>
      <c r="M13" s="307"/>
      <c r="N13" s="307"/>
      <c r="O13" s="307"/>
      <c r="P13" s="307"/>
    </row>
    <row r="14" spans="1:16" ht="22.15" customHeight="1" x14ac:dyDescent="0.35">
      <c r="A14" s="309" t="s">
        <v>329</v>
      </c>
      <c r="B14" s="309"/>
      <c r="C14" s="309"/>
      <c r="D14" s="309"/>
      <c r="E14" s="309"/>
      <c r="F14" s="309"/>
      <c r="G14" s="306"/>
      <c r="H14" s="306"/>
      <c r="I14" s="307"/>
      <c r="J14" s="308"/>
      <c r="K14" s="307"/>
      <c r="L14" s="307"/>
      <c r="M14" s="307"/>
      <c r="N14" s="307"/>
      <c r="O14" s="307"/>
      <c r="P14" s="307"/>
    </row>
    <row r="15" spans="1:16" ht="22.15" customHeight="1" x14ac:dyDescent="0.35">
      <c r="A15" s="309" t="s">
        <v>442</v>
      </c>
      <c r="B15" s="309"/>
      <c r="C15" s="309"/>
      <c r="D15" s="309"/>
      <c r="E15" s="309"/>
      <c r="F15" s="309"/>
      <c r="G15" s="306"/>
      <c r="H15" s="306"/>
      <c r="I15" s="307"/>
      <c r="J15" s="308"/>
      <c r="K15" s="307"/>
      <c r="L15" s="307"/>
      <c r="M15" s="307"/>
      <c r="N15" s="307"/>
      <c r="O15" s="307"/>
      <c r="P15" s="307"/>
    </row>
    <row r="16" spans="1:16" ht="22.15" customHeight="1" x14ac:dyDescent="0.35">
      <c r="A16" s="309" t="s">
        <v>443</v>
      </c>
      <c r="B16" s="309"/>
      <c r="C16" s="309"/>
      <c r="D16" s="309"/>
      <c r="E16" s="309"/>
      <c r="F16" s="309"/>
      <c r="G16" s="306"/>
      <c r="H16" s="306"/>
      <c r="I16" s="307"/>
      <c r="J16" s="308"/>
      <c r="K16" s="307"/>
      <c r="L16" s="307"/>
      <c r="M16" s="307"/>
      <c r="N16" s="307"/>
      <c r="O16" s="307"/>
      <c r="P16" s="307"/>
    </row>
    <row r="17" spans="1:16" ht="22.15" customHeight="1" x14ac:dyDescent="0.35">
      <c r="A17" s="309" t="s">
        <v>215</v>
      </c>
      <c r="B17" s="309"/>
      <c r="C17" s="309"/>
      <c r="D17" s="309"/>
      <c r="E17" s="309"/>
      <c r="F17" s="306"/>
      <c r="G17" s="306"/>
      <c r="H17" s="306"/>
      <c r="I17" s="307"/>
      <c r="J17" s="308"/>
      <c r="K17" s="307"/>
      <c r="L17" s="307"/>
      <c r="M17" s="307"/>
      <c r="N17" s="307"/>
      <c r="O17" s="307"/>
      <c r="P17" s="307"/>
    </row>
    <row r="18" spans="1:16" ht="22.15" customHeight="1" x14ac:dyDescent="0.35">
      <c r="A18" s="348" t="s">
        <v>216</v>
      </c>
      <c r="B18" s="348"/>
      <c r="C18" s="348"/>
      <c r="D18" s="348"/>
      <c r="E18" s="348"/>
      <c r="F18" s="348"/>
      <c r="G18" s="348"/>
      <c r="H18" s="348"/>
      <c r="I18" s="307"/>
      <c r="J18" s="308"/>
      <c r="K18" s="307"/>
      <c r="L18" s="307"/>
      <c r="M18" s="307"/>
      <c r="N18" s="307"/>
      <c r="O18" s="307"/>
      <c r="P18" s="307"/>
    </row>
    <row r="19" spans="1:16" ht="22.15" customHeight="1" x14ac:dyDescent="0.35">
      <c r="A19" s="305"/>
      <c r="B19" s="305"/>
      <c r="C19" s="305"/>
      <c r="D19" s="305"/>
      <c r="E19" s="305"/>
      <c r="F19" s="305"/>
      <c r="G19" s="305"/>
      <c r="H19" s="305"/>
      <c r="I19" s="307"/>
      <c r="J19" s="308"/>
      <c r="K19" s="307"/>
      <c r="L19" s="307"/>
      <c r="M19" s="307"/>
      <c r="N19" s="307"/>
      <c r="O19" s="307"/>
      <c r="P19" s="307"/>
    </row>
    <row r="20" spans="1:16" ht="22.15" customHeight="1" x14ac:dyDescent="0.35">
      <c r="A20" s="309" t="s">
        <v>444</v>
      </c>
      <c r="B20" s="309"/>
      <c r="C20" s="309"/>
      <c r="D20" s="309"/>
      <c r="E20" s="309"/>
      <c r="F20" s="306"/>
      <c r="G20" s="306"/>
      <c r="H20" s="306"/>
      <c r="I20" s="307"/>
      <c r="J20" s="308"/>
      <c r="K20" s="307"/>
      <c r="L20" s="307"/>
      <c r="M20" s="307"/>
      <c r="N20" s="307"/>
      <c r="O20" s="307"/>
      <c r="P20" s="307"/>
    </row>
    <row r="21" spans="1:16" ht="22.15" customHeight="1" x14ac:dyDescent="0.35">
      <c r="A21" s="309" t="s">
        <v>217</v>
      </c>
      <c r="B21" s="309"/>
      <c r="C21" s="309"/>
      <c r="D21" s="309"/>
      <c r="E21" s="309"/>
      <c r="F21" s="306"/>
      <c r="G21" s="306"/>
      <c r="H21" s="306"/>
      <c r="I21" s="307"/>
      <c r="J21" s="308"/>
      <c r="K21" s="307"/>
      <c r="L21" s="307"/>
      <c r="M21" s="307"/>
      <c r="N21" s="307"/>
      <c r="O21" s="307"/>
      <c r="P21" s="307"/>
    </row>
    <row r="22" spans="1:16" ht="22.15" customHeight="1" x14ac:dyDescent="0.35">
      <c r="A22" s="309" t="s">
        <v>445</v>
      </c>
      <c r="B22" s="309"/>
      <c r="C22" s="309"/>
      <c r="D22" s="309"/>
      <c r="E22" s="309"/>
      <c r="F22" s="306"/>
      <c r="G22" s="306"/>
      <c r="H22" s="306"/>
      <c r="I22" s="307"/>
      <c r="J22" s="308"/>
      <c r="K22" s="307"/>
      <c r="L22" s="307"/>
      <c r="M22" s="307"/>
      <c r="N22" s="307"/>
      <c r="O22" s="307"/>
      <c r="P22" s="307"/>
    </row>
    <row r="23" spans="1:16" ht="22.15" customHeight="1" x14ac:dyDescent="0.35"/>
    <row r="24" spans="1:16" ht="22.15" customHeight="1" x14ac:dyDescent="0.35">
      <c r="A24" s="148" t="s">
        <v>218</v>
      </c>
      <c r="B24" s="148"/>
      <c r="C24" s="148"/>
      <c r="D24" s="148"/>
    </row>
    <row r="25" spans="1:16" ht="22.15" customHeight="1" x14ac:dyDescent="0.35"/>
    <row r="26" spans="1:16" ht="22.15" customHeight="1" x14ac:dyDescent="0.35">
      <c r="A26" s="146" t="s">
        <v>521</v>
      </c>
      <c r="B26" s="146"/>
      <c r="C26" s="146"/>
      <c r="D26" s="146"/>
      <c r="E26" s="146"/>
    </row>
    <row r="27" spans="1:16" ht="22.15" customHeight="1" x14ac:dyDescent="0.35">
      <c r="A27" s="146" t="s">
        <v>430</v>
      </c>
      <c r="B27" s="146"/>
      <c r="C27" s="146"/>
      <c r="D27" s="146"/>
      <c r="E27" s="146"/>
    </row>
    <row r="28" spans="1:16" ht="22.15" customHeight="1" x14ac:dyDescent="0.35">
      <c r="A28" s="337" t="s">
        <v>440</v>
      </c>
      <c r="B28" s="337"/>
      <c r="C28" s="338"/>
      <c r="D28" s="339" t="s">
        <v>219</v>
      </c>
      <c r="E28" s="338"/>
    </row>
    <row r="29" spans="1:16" ht="22.15" customHeight="1" x14ac:dyDescent="0.35">
      <c r="A29" s="349" t="s">
        <v>220</v>
      </c>
      <c r="B29" s="349"/>
      <c r="C29" s="349"/>
      <c r="D29" s="339" t="s">
        <v>221</v>
      </c>
      <c r="E29" s="338"/>
    </row>
    <row r="30" spans="1:16" ht="22.15" customHeight="1" x14ac:dyDescent="0.35">
      <c r="A30" s="337" t="s">
        <v>439</v>
      </c>
      <c r="B30" s="337"/>
      <c r="C30" s="338"/>
      <c r="D30" s="337" t="s">
        <v>222</v>
      </c>
      <c r="E30" s="338"/>
    </row>
    <row r="31" spans="1:16" ht="22.15" customHeight="1" x14ac:dyDescent="0.35">
      <c r="A31" s="337" t="s">
        <v>223</v>
      </c>
      <c r="B31" s="337"/>
      <c r="C31" s="338"/>
      <c r="D31" s="337" t="s">
        <v>224</v>
      </c>
      <c r="E31" s="338"/>
    </row>
    <row r="32" spans="1:16" ht="22.15" customHeight="1" x14ac:dyDescent="0.35"/>
    <row r="33" spans="1:10" ht="22.15" customHeight="1" x14ac:dyDescent="0.35">
      <c r="A33" s="148" t="s">
        <v>225</v>
      </c>
      <c r="B33" s="148"/>
      <c r="C33" s="148"/>
      <c r="D33" s="148"/>
    </row>
    <row r="34" spans="1:10" ht="22.15" customHeight="1" x14ac:dyDescent="0.35"/>
    <row r="35" spans="1:10" ht="22.15" customHeight="1" x14ac:dyDescent="0.35">
      <c r="A35" s="146" t="s">
        <v>431</v>
      </c>
      <c r="B35" s="146"/>
      <c r="C35" s="146"/>
      <c r="D35" s="146"/>
      <c r="E35" s="146"/>
    </row>
    <row r="36" spans="1:10" ht="22.15" customHeight="1" x14ac:dyDescent="0.35">
      <c r="A36" s="146" t="s">
        <v>432</v>
      </c>
      <c r="B36" s="146"/>
      <c r="C36" s="146"/>
      <c r="D36" s="146"/>
      <c r="E36" s="146"/>
    </row>
    <row r="37" spans="1:10" ht="22.15" customHeight="1" x14ac:dyDescent="0.35">
      <c r="A37" s="34" t="s">
        <v>433</v>
      </c>
    </row>
    <row r="38" spans="1:10" ht="22.15" customHeight="1" x14ac:dyDescent="0.35"/>
    <row r="39" spans="1:10" ht="22.15" customHeight="1" x14ac:dyDescent="0.35">
      <c r="A39" s="146" t="s">
        <v>226</v>
      </c>
      <c r="B39" s="146"/>
      <c r="C39" s="146"/>
      <c r="D39" s="146"/>
      <c r="E39" s="146"/>
    </row>
    <row r="40" spans="1:10" ht="22.15" customHeight="1" x14ac:dyDescent="0.35">
      <c r="A40" s="34" t="s">
        <v>227</v>
      </c>
    </row>
    <row r="41" spans="1:10" ht="22.15" customHeight="1" x14ac:dyDescent="0.35">
      <c r="A41" s="34" t="s">
        <v>228</v>
      </c>
    </row>
    <row r="42" spans="1:10" ht="22.15" customHeight="1" x14ac:dyDescent="0.35"/>
    <row r="43" spans="1:10" ht="22.15" customHeight="1" x14ac:dyDescent="0.35">
      <c r="A43" s="34" t="s">
        <v>229</v>
      </c>
    </row>
    <row r="44" spans="1:10" ht="22.15" customHeight="1" x14ac:dyDescent="0.35"/>
    <row r="45" spans="1:10" ht="22.15" customHeight="1" x14ac:dyDescent="0.35">
      <c r="A45" s="34" t="s">
        <v>448</v>
      </c>
    </row>
    <row r="46" spans="1:10" ht="22.15" customHeight="1" x14ac:dyDescent="0.35">
      <c r="A46" s="34" t="s">
        <v>436</v>
      </c>
    </row>
    <row r="47" spans="1:10" ht="22.15" customHeight="1" x14ac:dyDescent="0.35"/>
    <row r="48" spans="1:10" s="53" customFormat="1" ht="22.15" customHeight="1" x14ac:dyDescent="0.35">
      <c r="A48" s="53" t="s">
        <v>230</v>
      </c>
      <c r="F48" s="149"/>
      <c r="G48" s="149"/>
      <c r="H48" s="149"/>
      <c r="J48" s="150"/>
    </row>
    <row r="49" spans="1:9" ht="22.15" customHeight="1" x14ac:dyDescent="0.35">
      <c r="A49" s="144"/>
    </row>
    <row r="50" spans="1:9" ht="22.15" customHeight="1" x14ac:dyDescent="0.35">
      <c r="A50" s="34" t="s">
        <v>231</v>
      </c>
    </row>
    <row r="51" spans="1:9" ht="22.15" customHeight="1" x14ac:dyDescent="0.35">
      <c r="A51" s="144"/>
    </row>
    <row r="52" spans="1:9" ht="22.15" customHeight="1" x14ac:dyDescent="0.35">
      <c r="A52" s="53" t="s">
        <v>232</v>
      </c>
      <c r="B52" s="53"/>
      <c r="C52" s="53"/>
      <c r="D52" s="53"/>
    </row>
    <row r="53" spans="1:9" ht="22.15" customHeight="1" x14ac:dyDescent="0.35">
      <c r="A53" s="144"/>
    </row>
    <row r="54" spans="1:9" ht="22.15" customHeight="1" x14ac:dyDescent="0.35">
      <c r="A54" s="34" t="s">
        <v>233</v>
      </c>
    </row>
    <row r="55" spans="1:9" ht="22.15" customHeight="1" x14ac:dyDescent="0.35">
      <c r="A55" s="145"/>
    </row>
    <row r="56" spans="1:9" ht="22.15" customHeight="1" x14ac:dyDescent="0.35">
      <c r="A56" s="53" t="s">
        <v>234</v>
      </c>
      <c r="B56" s="53"/>
      <c r="C56" s="53"/>
      <c r="D56" s="53"/>
    </row>
    <row r="57" spans="1:9" ht="22.15" customHeight="1" x14ac:dyDescent="0.35">
      <c r="A57" s="144"/>
    </row>
    <row r="58" spans="1:9" ht="22.15" customHeight="1" x14ac:dyDescent="0.35">
      <c r="A58" s="34" t="s">
        <v>235</v>
      </c>
    </row>
    <row r="59" spans="1:9" ht="22.15" customHeight="1" x14ac:dyDescent="0.35">
      <c r="A59" s="144"/>
    </row>
    <row r="60" spans="1:9" ht="22.15" customHeight="1" x14ac:dyDescent="0.35">
      <c r="A60" s="53" t="s">
        <v>236</v>
      </c>
      <c r="B60" s="53"/>
      <c r="C60" s="53"/>
      <c r="D60" s="53"/>
    </row>
    <row r="61" spans="1:9" ht="22.15" customHeight="1" x14ac:dyDescent="0.35">
      <c r="A61" s="53" t="s">
        <v>237</v>
      </c>
      <c r="B61" s="53"/>
      <c r="C61" s="53"/>
      <c r="D61" s="53"/>
    </row>
    <row r="62" spans="1:9" ht="22.15" customHeight="1" x14ac:dyDescent="0.35">
      <c r="A62" s="34" t="s">
        <v>437</v>
      </c>
    </row>
    <row r="63" spans="1:9" ht="22.15" customHeight="1" x14ac:dyDescent="0.35">
      <c r="A63" s="36" t="s">
        <v>438</v>
      </c>
      <c r="B63" s="36"/>
      <c r="C63" s="36"/>
      <c r="D63" s="36"/>
      <c r="E63" s="36"/>
      <c r="F63" s="37"/>
      <c r="G63" s="37"/>
      <c r="H63" s="37"/>
      <c r="I63" s="36"/>
    </row>
    <row r="64" spans="1:9" ht="22.15" customHeight="1" x14ac:dyDescent="0.35">
      <c r="A64" s="36"/>
      <c r="B64" s="36"/>
      <c r="C64" s="36"/>
      <c r="D64" s="36"/>
      <c r="E64" s="36"/>
      <c r="F64" s="37"/>
      <c r="G64" s="37"/>
      <c r="H64" s="37"/>
      <c r="I64" s="36"/>
    </row>
    <row r="65" spans="1:9" ht="22.15" customHeight="1" x14ac:dyDescent="0.35">
      <c r="A65" s="36"/>
      <c r="B65" s="36"/>
      <c r="C65" s="36"/>
      <c r="D65" s="36"/>
      <c r="E65" s="36"/>
      <c r="F65" s="37"/>
      <c r="G65" s="37"/>
      <c r="H65" s="37"/>
      <c r="I65" s="36"/>
    </row>
    <row r="66" spans="1:9" ht="22.15" customHeight="1" x14ac:dyDescent="0.35">
      <c r="A66" s="53" t="s">
        <v>238</v>
      </c>
      <c r="B66" s="36"/>
      <c r="C66" s="36"/>
      <c r="D66" s="36"/>
      <c r="E66" s="36"/>
      <c r="F66" s="37"/>
      <c r="G66" s="37"/>
      <c r="H66" s="37"/>
      <c r="I66" s="36"/>
    </row>
    <row r="67" spans="1:9" ht="22.15" customHeight="1" x14ac:dyDescent="0.35">
      <c r="A67" s="34" t="s">
        <v>239</v>
      </c>
    </row>
    <row r="68" spans="1:9" ht="22.15" customHeight="1" x14ac:dyDescent="0.35">
      <c r="A68" s="36"/>
      <c r="B68" s="36"/>
      <c r="C68" s="36"/>
      <c r="D68" s="36"/>
      <c r="E68" s="36"/>
      <c r="F68" s="37"/>
      <c r="G68" s="37"/>
      <c r="H68" s="37"/>
      <c r="I68" s="36"/>
    </row>
    <row r="69" spans="1:9" ht="22.15" customHeight="1" x14ac:dyDescent="0.35">
      <c r="A69" s="36"/>
      <c r="B69" s="36"/>
      <c r="C69" s="36"/>
      <c r="D69" s="36"/>
      <c r="E69" s="36"/>
      <c r="F69" s="37"/>
      <c r="G69" s="37"/>
      <c r="H69" s="37"/>
      <c r="I69" s="36"/>
    </row>
    <row r="70" spans="1:9" ht="22.15" customHeight="1" x14ac:dyDescent="0.35">
      <c r="A70" s="53" t="s">
        <v>240</v>
      </c>
      <c r="B70" s="53"/>
      <c r="C70" s="53"/>
      <c r="D70" s="53"/>
    </row>
    <row r="71" spans="1:9" ht="22.15" customHeight="1" x14ac:dyDescent="0.35">
      <c r="A71" s="34" t="s">
        <v>241</v>
      </c>
    </row>
    <row r="72" spans="1:9" ht="22.15" customHeight="1" x14ac:dyDescent="0.35"/>
    <row r="73" spans="1:9" ht="22.15" customHeight="1" x14ac:dyDescent="0.35">
      <c r="A73" s="53" t="s">
        <v>242</v>
      </c>
      <c r="B73" s="53"/>
      <c r="C73" s="53"/>
      <c r="D73" s="53"/>
    </row>
    <row r="74" spans="1:9" ht="22.15" customHeight="1" x14ac:dyDescent="0.35">
      <c r="A74" s="53" t="s">
        <v>243</v>
      </c>
      <c r="B74" s="53"/>
      <c r="C74" s="53"/>
      <c r="D74" s="53"/>
    </row>
    <row r="75" spans="1:9" ht="22.15" customHeight="1" x14ac:dyDescent="0.35">
      <c r="A75" s="34" t="s">
        <v>244</v>
      </c>
      <c r="F75" s="34"/>
      <c r="G75" s="34"/>
      <c r="H75" s="34"/>
      <c r="I75" s="36"/>
    </row>
    <row r="76" spans="1:9" ht="22.15" customHeight="1" x14ac:dyDescent="0.35">
      <c r="A76" s="34" t="s">
        <v>245</v>
      </c>
      <c r="F76" s="34"/>
      <c r="G76" s="34"/>
      <c r="H76" s="34"/>
      <c r="I76" s="36"/>
    </row>
    <row r="77" spans="1:9" ht="22.15" customHeight="1" x14ac:dyDescent="0.35">
      <c r="A77" s="36"/>
      <c r="B77" s="36"/>
      <c r="C77" s="36"/>
      <c r="D77" s="36"/>
      <c r="E77" s="36"/>
      <c r="F77" s="37"/>
      <c r="G77" s="37"/>
      <c r="H77" s="37"/>
      <c r="I77" s="36"/>
    </row>
    <row r="78" spans="1:9" ht="22.15" customHeight="1" x14ac:dyDescent="0.35">
      <c r="A78" s="53" t="s">
        <v>246</v>
      </c>
      <c r="B78" s="53"/>
      <c r="C78" s="53"/>
      <c r="D78" s="53"/>
    </row>
    <row r="79" spans="1:9" ht="22.15" customHeight="1" x14ac:dyDescent="0.35">
      <c r="A79" s="34" t="s">
        <v>247</v>
      </c>
      <c r="F79" s="34"/>
      <c r="G79" s="34"/>
      <c r="H79" s="34"/>
      <c r="I79" s="36"/>
    </row>
    <row r="80" spans="1:9" ht="22.15" customHeight="1" x14ac:dyDescent="0.35">
      <c r="A80" s="145"/>
      <c r="B80" s="36"/>
      <c r="C80" s="36"/>
      <c r="D80" s="36"/>
      <c r="E80" s="36"/>
      <c r="F80" s="37"/>
      <c r="G80" s="37"/>
      <c r="H80" s="37"/>
      <c r="I80" s="36"/>
    </row>
    <row r="81" spans="1:10" ht="22.15" customHeight="1" x14ac:dyDescent="0.35">
      <c r="A81" s="53" t="s">
        <v>248</v>
      </c>
      <c r="B81" s="53"/>
      <c r="C81" s="53"/>
      <c r="D81" s="53"/>
    </row>
    <row r="82" spans="1:10" ht="22.15" customHeight="1" x14ac:dyDescent="0.35">
      <c r="A82" s="34" t="s">
        <v>249</v>
      </c>
      <c r="F82" s="34"/>
      <c r="G82" s="34"/>
      <c r="H82" s="34"/>
      <c r="I82" s="36"/>
    </row>
    <row r="83" spans="1:10" ht="22.15" customHeight="1" x14ac:dyDescent="0.35">
      <c r="A83" s="36"/>
      <c r="B83" s="36"/>
      <c r="C83" s="36"/>
      <c r="D83" s="36"/>
      <c r="E83" s="36"/>
      <c r="F83" s="37"/>
      <c r="G83" s="37"/>
      <c r="H83" s="37"/>
      <c r="I83" s="36"/>
    </row>
    <row r="84" spans="1:10" ht="22.15" customHeight="1" x14ac:dyDescent="0.35">
      <c r="A84" s="53" t="s">
        <v>250</v>
      </c>
      <c r="B84" s="36"/>
      <c r="C84" s="36"/>
      <c r="D84" s="36"/>
      <c r="E84" s="36"/>
      <c r="F84" s="37"/>
      <c r="G84" s="37"/>
      <c r="H84" s="37"/>
      <c r="I84" s="36"/>
    </row>
    <row r="85" spans="1:10" ht="22.15" customHeight="1" x14ac:dyDescent="0.35">
      <c r="A85" s="34" t="s">
        <v>269</v>
      </c>
      <c r="F85" s="34"/>
      <c r="G85" s="34"/>
      <c r="H85" s="34"/>
      <c r="I85" s="36"/>
    </row>
    <row r="86" spans="1:10" ht="22.15" customHeight="1" x14ac:dyDescent="0.35">
      <c r="A86" s="163"/>
      <c r="F86" s="34"/>
      <c r="G86" s="34"/>
      <c r="H86" s="34"/>
      <c r="I86" s="36"/>
    </row>
    <row r="87" spans="1:10" ht="22.15" customHeight="1" x14ac:dyDescent="0.35">
      <c r="A87" s="34" t="s">
        <v>270</v>
      </c>
      <c r="F87" s="34"/>
      <c r="G87" s="34"/>
      <c r="H87" s="34"/>
      <c r="I87" s="36"/>
    </row>
    <row r="88" spans="1:10" ht="22.15" customHeight="1" x14ac:dyDescent="0.35">
      <c r="A88" s="163"/>
      <c r="B88" s="36"/>
      <c r="C88" s="36"/>
      <c r="D88" s="36"/>
      <c r="E88" s="36"/>
      <c r="F88" s="37"/>
      <c r="G88" s="37"/>
      <c r="H88" s="37"/>
      <c r="I88" s="36"/>
    </row>
    <row r="89" spans="1:10" ht="22.15" customHeight="1" x14ac:dyDescent="0.35">
      <c r="A89" s="34" t="s">
        <v>449</v>
      </c>
      <c r="F89" s="34"/>
      <c r="G89" s="34"/>
      <c r="H89" s="34"/>
      <c r="I89" s="36"/>
    </row>
    <row r="90" spans="1:10" ht="22.15" customHeight="1" x14ac:dyDescent="0.35">
      <c r="A90" s="163"/>
      <c r="B90" s="36"/>
      <c r="C90" s="36"/>
      <c r="D90" s="36"/>
      <c r="E90" s="36"/>
      <c r="F90" s="37"/>
      <c r="G90" s="37"/>
      <c r="H90" s="37"/>
      <c r="I90" s="36"/>
    </row>
    <row r="91" spans="1:10" ht="22.15" customHeight="1" x14ac:dyDescent="0.35">
      <c r="A91" s="34" t="s">
        <v>397</v>
      </c>
      <c r="F91" s="34"/>
      <c r="G91" s="34"/>
      <c r="H91" s="34"/>
      <c r="I91" s="36"/>
    </row>
    <row r="92" spans="1:10" ht="22.15" customHeight="1" x14ac:dyDescent="0.35">
      <c r="A92" s="34" t="s">
        <v>398</v>
      </c>
      <c r="F92" s="34"/>
      <c r="G92" s="34"/>
      <c r="H92" s="34"/>
      <c r="I92" s="36"/>
    </row>
    <row r="93" spans="1:10" ht="22.15" customHeight="1" x14ac:dyDescent="0.35">
      <c r="A93" s="164"/>
      <c r="B93" s="164"/>
      <c r="C93" s="164"/>
      <c r="D93" s="164"/>
      <c r="E93" s="164"/>
      <c r="F93" s="164"/>
      <c r="G93" s="37"/>
      <c r="H93" s="37"/>
      <c r="I93" s="36"/>
    </row>
    <row r="94" spans="1:10" ht="22.15" customHeight="1" x14ac:dyDescent="0.35">
      <c r="A94" s="164"/>
      <c r="B94" s="164"/>
      <c r="C94" s="164"/>
      <c r="D94" s="164"/>
      <c r="E94" s="164"/>
      <c r="F94" s="164"/>
      <c r="G94" s="37"/>
      <c r="H94" s="37"/>
      <c r="I94" s="36"/>
    </row>
    <row r="95" spans="1:10" s="53" customFormat="1" ht="22.15" customHeight="1" x14ac:dyDescent="0.35">
      <c r="A95" s="53" t="s">
        <v>251</v>
      </c>
      <c r="I95" s="38"/>
      <c r="J95" s="150"/>
    </row>
    <row r="96" spans="1:10" ht="22.15" customHeight="1" x14ac:dyDescent="0.35">
      <c r="A96" s="144"/>
      <c r="F96" s="34"/>
      <c r="G96" s="34"/>
      <c r="H96" s="34"/>
      <c r="I96" s="36"/>
    </row>
    <row r="97" spans="1:10" ht="22.15" customHeight="1" x14ac:dyDescent="0.35">
      <c r="A97" s="34" t="s">
        <v>450</v>
      </c>
      <c r="F97" s="34"/>
      <c r="G97" s="34"/>
      <c r="H97" s="34"/>
      <c r="I97" s="36"/>
    </row>
    <row r="98" spans="1:10" ht="22.15" customHeight="1" x14ac:dyDescent="0.35">
      <c r="F98" s="34"/>
      <c r="G98" s="34"/>
      <c r="H98" s="34"/>
      <c r="I98" s="36"/>
    </row>
    <row r="99" spans="1:10" ht="22.15" customHeight="1" x14ac:dyDescent="0.35">
      <c r="A99" s="34" t="s">
        <v>272</v>
      </c>
      <c r="F99" s="34"/>
      <c r="G99" s="34"/>
      <c r="H99" s="34"/>
      <c r="I99" s="36"/>
    </row>
    <row r="100" spans="1:10" ht="22.15" customHeight="1" x14ac:dyDescent="0.35">
      <c r="F100" s="34"/>
      <c r="G100" s="34"/>
      <c r="H100" s="34"/>
      <c r="I100" s="36"/>
    </row>
    <row r="101" spans="1:10" ht="22.15" customHeight="1" x14ac:dyDescent="0.35">
      <c r="A101" s="34" t="s">
        <v>273</v>
      </c>
      <c r="F101" s="34"/>
      <c r="G101" s="34"/>
      <c r="H101" s="34"/>
      <c r="I101" s="36"/>
    </row>
    <row r="102" spans="1:10" ht="22.15" customHeight="1" x14ac:dyDescent="0.35">
      <c r="F102" s="34"/>
      <c r="G102" s="34"/>
      <c r="H102" s="34"/>
      <c r="I102" s="36"/>
    </row>
    <row r="103" spans="1:10" ht="22.15" customHeight="1" x14ac:dyDescent="0.35">
      <c r="A103" s="34" t="s">
        <v>274</v>
      </c>
      <c r="F103" s="34"/>
      <c r="G103" s="34"/>
      <c r="H103" s="34"/>
      <c r="I103" s="36"/>
    </row>
    <row r="104" spans="1:10" ht="22.15" customHeight="1" x14ac:dyDescent="0.35">
      <c r="F104" s="34"/>
      <c r="G104" s="34"/>
      <c r="H104" s="34"/>
      <c r="I104" s="36"/>
    </row>
    <row r="105" spans="1:10" ht="22.15" customHeight="1" x14ac:dyDescent="0.35">
      <c r="A105" s="34" t="s">
        <v>275</v>
      </c>
      <c r="F105" s="34"/>
      <c r="G105" s="34"/>
      <c r="H105" s="34"/>
      <c r="I105" s="36"/>
    </row>
    <row r="106" spans="1:10" ht="22.15" customHeight="1" x14ac:dyDescent="0.35">
      <c r="F106" s="34"/>
      <c r="G106" s="34"/>
      <c r="H106" s="34"/>
      <c r="I106" s="36"/>
    </row>
    <row r="107" spans="1:10" ht="22.15" customHeight="1" x14ac:dyDescent="0.35">
      <c r="A107" s="34" t="s">
        <v>276</v>
      </c>
      <c r="F107" s="34"/>
      <c r="G107" s="34"/>
      <c r="H107" s="34"/>
      <c r="I107" s="36"/>
    </row>
    <row r="108" spans="1:10" ht="22.15" customHeight="1" x14ac:dyDescent="0.35">
      <c r="A108" s="145"/>
      <c r="B108" s="36"/>
      <c r="C108" s="36"/>
      <c r="D108" s="36"/>
      <c r="E108" s="36"/>
      <c r="F108" s="37"/>
      <c r="G108" s="37"/>
      <c r="H108" s="37"/>
      <c r="I108" s="36"/>
    </row>
    <row r="109" spans="1:10" s="53" customFormat="1" ht="22.15" customHeight="1" x14ac:dyDescent="0.35">
      <c r="A109" s="53" t="s">
        <v>271</v>
      </c>
      <c r="I109" s="38"/>
      <c r="J109" s="150"/>
    </row>
    <row r="110" spans="1:10" ht="22.15" customHeight="1" x14ac:dyDescent="0.35">
      <c r="A110" s="34" t="s">
        <v>252</v>
      </c>
      <c r="F110" s="34"/>
      <c r="G110" s="34"/>
      <c r="H110" s="34"/>
      <c r="I110" s="36"/>
    </row>
    <row r="111" spans="1:10" ht="22.15" customHeight="1" x14ac:dyDescent="0.35">
      <c r="A111" s="34" t="s">
        <v>253</v>
      </c>
      <c r="F111" s="34"/>
      <c r="G111" s="34"/>
      <c r="H111" s="34"/>
      <c r="I111" s="36"/>
    </row>
    <row r="112" spans="1:10" ht="22.15" customHeight="1" x14ac:dyDescent="0.35">
      <c r="A112" s="34" t="s">
        <v>254</v>
      </c>
      <c r="F112" s="34"/>
      <c r="G112" s="34"/>
      <c r="H112" s="34"/>
      <c r="I112" s="36"/>
    </row>
    <row r="113" spans="1:10" ht="22.15" customHeight="1" x14ac:dyDescent="0.35">
      <c r="A113" s="145"/>
      <c r="B113" s="36"/>
      <c r="C113" s="36"/>
      <c r="D113" s="36"/>
      <c r="E113" s="36"/>
      <c r="F113" s="37"/>
      <c r="G113" s="37"/>
      <c r="H113" s="37"/>
      <c r="I113" s="36"/>
    </row>
    <row r="114" spans="1:10" s="53" customFormat="1" ht="22.15" customHeight="1" x14ac:dyDescent="0.35">
      <c r="A114" s="53" t="s">
        <v>277</v>
      </c>
      <c r="I114" s="38"/>
      <c r="J114" s="150"/>
    </row>
    <row r="115" spans="1:10" ht="22.15" customHeight="1" x14ac:dyDescent="0.35">
      <c r="A115" s="145"/>
      <c r="B115" s="36"/>
      <c r="C115" s="36"/>
      <c r="D115" s="36"/>
      <c r="E115" s="36"/>
      <c r="F115" s="37"/>
      <c r="G115" s="37"/>
      <c r="H115" s="37"/>
      <c r="I115" s="36"/>
    </row>
    <row r="116" spans="1:10" ht="22.15" customHeight="1" x14ac:dyDescent="0.35">
      <c r="A116" s="34" t="s">
        <v>255</v>
      </c>
      <c r="F116" s="34"/>
      <c r="G116" s="34"/>
      <c r="H116" s="34"/>
      <c r="I116" s="36"/>
    </row>
    <row r="117" spans="1:10" ht="22.15" customHeight="1" x14ac:dyDescent="0.35">
      <c r="A117" s="34" t="s">
        <v>278</v>
      </c>
      <c r="F117" s="34"/>
      <c r="G117" s="34"/>
      <c r="H117" s="34"/>
      <c r="I117" s="36"/>
    </row>
    <row r="118" spans="1:10" s="53" customFormat="1" ht="22.15" customHeight="1" x14ac:dyDescent="0.35">
      <c r="A118" s="145"/>
      <c r="I118" s="38"/>
      <c r="J118" s="150"/>
    </row>
    <row r="119" spans="1:10" s="53" customFormat="1" ht="22.15" customHeight="1" x14ac:dyDescent="0.35">
      <c r="A119" s="53" t="s">
        <v>256</v>
      </c>
      <c r="I119" s="38"/>
      <c r="J119" s="150"/>
    </row>
    <row r="120" spans="1:10" ht="22.15" customHeight="1" x14ac:dyDescent="0.35">
      <c r="A120" s="34" t="s">
        <v>399</v>
      </c>
      <c r="F120" s="34"/>
      <c r="G120" s="34"/>
      <c r="H120" s="34"/>
      <c r="I120" s="36"/>
    </row>
    <row r="121" spans="1:10" ht="22.15" customHeight="1" x14ac:dyDescent="0.35">
      <c r="F121" s="34"/>
      <c r="G121" s="34"/>
      <c r="H121" s="34"/>
      <c r="I121" s="36"/>
    </row>
    <row r="122" spans="1:10" ht="22.15" customHeight="1" x14ac:dyDescent="0.35">
      <c r="A122" s="36"/>
      <c r="B122" s="36"/>
      <c r="C122" s="36"/>
      <c r="D122" s="36"/>
      <c r="E122" s="36"/>
      <c r="F122" s="37"/>
      <c r="G122" s="37"/>
      <c r="H122" s="37"/>
      <c r="I122" s="36"/>
    </row>
    <row r="123" spans="1:10" ht="22.15" customHeight="1" x14ac:dyDescent="0.35">
      <c r="A123" s="36"/>
      <c r="B123" s="36"/>
      <c r="C123" s="36"/>
      <c r="D123" s="36"/>
      <c r="E123" s="36"/>
      <c r="F123" s="37"/>
      <c r="G123" s="37"/>
      <c r="H123" s="37"/>
      <c r="I123" s="36"/>
    </row>
    <row r="124" spans="1:10" ht="22.15" customHeight="1" x14ac:dyDescent="0.35">
      <c r="A124" s="36"/>
      <c r="B124" s="36"/>
      <c r="C124" s="36"/>
      <c r="D124" s="36"/>
      <c r="E124" s="36"/>
      <c r="F124" s="37"/>
      <c r="G124" s="37"/>
      <c r="H124" s="37"/>
      <c r="I124" s="36"/>
    </row>
    <row r="125" spans="1:10" s="53" customFormat="1" ht="22.15" customHeight="1" x14ac:dyDescent="0.35">
      <c r="A125" s="53" t="s">
        <v>257</v>
      </c>
      <c r="I125" s="38"/>
      <c r="J125" s="150"/>
    </row>
    <row r="126" spans="1:10" ht="22.15" customHeight="1" x14ac:dyDescent="0.35">
      <c r="A126" s="34" t="s">
        <v>279</v>
      </c>
      <c r="F126" s="34"/>
      <c r="G126" s="34"/>
      <c r="H126" s="34"/>
      <c r="I126" s="36"/>
    </row>
    <row r="127" spans="1:10" ht="22.15" customHeight="1" x14ac:dyDescent="0.35">
      <c r="A127" s="34" t="s">
        <v>280</v>
      </c>
      <c r="F127" s="34"/>
      <c r="G127" s="34"/>
      <c r="H127" s="34"/>
      <c r="I127" s="36"/>
    </row>
    <row r="128" spans="1:10" ht="22.15" customHeight="1" x14ac:dyDescent="0.35">
      <c r="A128" s="36"/>
      <c r="B128" s="36"/>
      <c r="C128" s="36"/>
      <c r="D128" s="36"/>
      <c r="E128" s="36"/>
      <c r="F128" s="37"/>
      <c r="G128" s="37"/>
      <c r="H128" s="37"/>
      <c r="I128" s="36"/>
    </row>
    <row r="129" spans="1:10" ht="22.15" customHeight="1" x14ac:dyDescent="0.35">
      <c r="A129" s="38" t="s">
        <v>20</v>
      </c>
      <c r="B129" s="38" t="s">
        <v>21</v>
      </c>
      <c r="C129" s="39"/>
      <c r="D129" s="39"/>
      <c r="E129" s="36"/>
      <c r="F129" s="37"/>
      <c r="G129" s="37"/>
      <c r="H129" s="37"/>
      <c r="I129" s="36"/>
    </row>
    <row r="130" spans="1:10" ht="22.15" customHeight="1" x14ac:dyDescent="0.35">
      <c r="A130" s="36"/>
      <c r="B130" s="36"/>
      <c r="C130" s="36"/>
      <c r="D130" s="36"/>
      <c r="E130" s="36"/>
      <c r="F130" s="37"/>
      <c r="G130" s="37"/>
      <c r="H130" s="37"/>
      <c r="I130" s="36"/>
      <c r="J130" s="82"/>
    </row>
    <row r="131" spans="1:10" ht="22.15" customHeight="1" x14ac:dyDescent="0.35">
      <c r="A131" s="36" t="s">
        <v>451</v>
      </c>
      <c r="B131" s="36"/>
      <c r="C131" s="36"/>
      <c r="D131" s="36"/>
      <c r="E131" s="36"/>
      <c r="F131" s="37"/>
      <c r="G131" s="37"/>
      <c r="H131" s="37"/>
      <c r="I131" s="36"/>
      <c r="J131" s="82"/>
    </row>
    <row r="132" spans="1:10" ht="22.15" customHeight="1" x14ac:dyDescent="0.35">
      <c r="A132" s="36"/>
      <c r="B132" s="36"/>
      <c r="C132" s="36"/>
      <c r="D132" s="36"/>
      <c r="E132" s="36"/>
      <c r="F132" s="37"/>
      <c r="G132" s="37"/>
      <c r="H132" s="37"/>
      <c r="I132" s="36"/>
      <c r="J132" s="82"/>
    </row>
    <row r="133" spans="1:10" ht="22.15" customHeight="1" x14ac:dyDescent="0.35">
      <c r="A133" s="350" t="s">
        <v>4</v>
      </c>
      <c r="B133" s="351"/>
      <c r="C133" s="351"/>
      <c r="D133" s="351"/>
      <c r="E133" s="352"/>
      <c r="F133" s="151">
        <v>2026</v>
      </c>
      <c r="G133" s="40"/>
      <c r="H133" s="151">
        <v>2025</v>
      </c>
      <c r="I133" s="36"/>
      <c r="J133" s="82"/>
    </row>
    <row r="134" spans="1:10" ht="22.15" customHeight="1" x14ac:dyDescent="0.35">
      <c r="A134" s="264" t="s">
        <v>7</v>
      </c>
      <c r="B134" s="259"/>
      <c r="C134" s="259"/>
      <c r="D134" s="259"/>
      <c r="E134" s="260"/>
      <c r="F134" s="42">
        <v>222000</v>
      </c>
      <c r="G134" s="42"/>
      <c r="H134" s="42">
        <v>172000</v>
      </c>
      <c r="I134" s="36"/>
      <c r="J134" s="82"/>
    </row>
    <row r="135" spans="1:10" ht="22.15" customHeight="1" x14ac:dyDescent="0.35">
      <c r="A135" s="363" t="s">
        <v>8</v>
      </c>
      <c r="B135" s="364"/>
      <c r="C135" s="364"/>
      <c r="D135" s="364"/>
      <c r="E135" s="365"/>
      <c r="F135" s="44">
        <v>152901.45000000001</v>
      </c>
      <c r="G135" s="44"/>
      <c r="H135" s="44">
        <v>806687.25</v>
      </c>
      <c r="I135" s="37"/>
    </row>
    <row r="136" spans="1:10" ht="22.15" customHeight="1" x14ac:dyDescent="0.35">
      <c r="A136" s="264" t="s">
        <v>352</v>
      </c>
      <c r="B136" s="265"/>
      <c r="C136" s="265"/>
      <c r="D136" s="265"/>
      <c r="E136" s="266"/>
      <c r="F136" s="44">
        <v>0</v>
      </c>
      <c r="G136" s="44"/>
      <c r="H136" s="44">
        <v>0</v>
      </c>
      <c r="I136" s="37"/>
    </row>
    <row r="137" spans="1:10" ht="22.15" customHeight="1" x14ac:dyDescent="0.35">
      <c r="A137" s="363" t="s">
        <v>386</v>
      </c>
      <c r="B137" s="364"/>
      <c r="C137" s="364"/>
      <c r="D137" s="364"/>
      <c r="E137" s="365"/>
      <c r="F137" s="44">
        <v>7502497.2599999998</v>
      </c>
      <c r="G137" s="44"/>
      <c r="H137" s="44">
        <v>7129492.54</v>
      </c>
      <c r="I137" s="37"/>
    </row>
    <row r="138" spans="1:10" ht="22.15" customHeight="1" x14ac:dyDescent="0.35">
      <c r="A138" s="162" t="s">
        <v>353</v>
      </c>
      <c r="B138" s="46"/>
      <c r="C138" s="46"/>
      <c r="D138" s="46"/>
      <c r="E138" s="184"/>
      <c r="F138" s="44">
        <v>7472682.8600000003</v>
      </c>
      <c r="G138" s="44"/>
      <c r="H138" s="44">
        <v>8183953.2800000003</v>
      </c>
      <c r="I138" s="35"/>
    </row>
    <row r="139" spans="1:10" ht="22.15" customHeight="1" x14ac:dyDescent="0.35">
      <c r="A139" s="162" t="s">
        <v>354</v>
      </c>
      <c r="B139" s="46"/>
      <c r="C139" s="46"/>
      <c r="D139" s="46"/>
      <c r="E139" s="184"/>
      <c r="F139" s="44">
        <v>0</v>
      </c>
      <c r="G139" s="44"/>
      <c r="H139" s="44">
        <v>0</v>
      </c>
      <c r="I139" s="35"/>
    </row>
    <row r="140" spans="1:10" ht="22.15" customHeight="1" x14ac:dyDescent="0.35">
      <c r="A140" s="162" t="s">
        <v>355</v>
      </c>
      <c r="B140" s="46"/>
      <c r="C140" s="46"/>
      <c r="D140" s="46"/>
      <c r="E140" s="184"/>
      <c r="F140" s="44">
        <v>84243966.780000001</v>
      </c>
      <c r="G140" s="44"/>
      <c r="H140" s="44">
        <v>121554639.81999999</v>
      </c>
      <c r="I140" s="37"/>
    </row>
    <row r="141" spans="1:10" ht="22.15" customHeight="1" x14ac:dyDescent="0.35">
      <c r="A141" s="264" t="s">
        <v>356</v>
      </c>
      <c r="B141" s="265"/>
      <c r="C141" s="265"/>
      <c r="D141" s="265"/>
      <c r="E141" s="266"/>
      <c r="F141" s="44">
        <v>0</v>
      </c>
      <c r="G141" s="44"/>
      <c r="H141" s="44">
        <v>877728.69</v>
      </c>
      <c r="I141" s="37"/>
    </row>
    <row r="142" spans="1:10" ht="22.15" customHeight="1" x14ac:dyDescent="0.35">
      <c r="A142" s="366" t="s">
        <v>475</v>
      </c>
      <c r="B142" s="367"/>
      <c r="C142" s="367"/>
      <c r="D142" s="367"/>
      <c r="E142" s="368"/>
      <c r="F142" s="276">
        <v>270818.63</v>
      </c>
      <c r="G142" s="47"/>
      <c r="H142" s="276">
        <v>133592.78</v>
      </c>
      <c r="I142" s="37"/>
    </row>
    <row r="143" spans="1:10" ht="22.15" customHeight="1" x14ac:dyDescent="0.35">
      <c r="A143" s="370" t="s">
        <v>1</v>
      </c>
      <c r="B143" s="371"/>
      <c r="C143" s="371"/>
      <c r="D143" s="371"/>
      <c r="E143" s="372"/>
      <c r="F143" s="47">
        <f>SUM(F134:F142)</f>
        <v>99864866.979999989</v>
      </c>
      <c r="G143" s="47"/>
      <c r="H143" s="47">
        <f>SUM(H134:H142)</f>
        <v>138858094.35999998</v>
      </c>
      <c r="I143" s="36"/>
    </row>
    <row r="144" spans="1:10" ht="22.15" customHeight="1" x14ac:dyDescent="0.35">
      <c r="A144" s="36"/>
      <c r="B144" s="36"/>
      <c r="C144" s="36"/>
      <c r="D144" s="36"/>
      <c r="E144" s="36"/>
      <c r="F144" s="37"/>
      <c r="G144" s="37"/>
      <c r="H144" s="48"/>
      <c r="I144" s="36"/>
    </row>
    <row r="145" spans="1:10" ht="22.15" customHeight="1" x14ac:dyDescent="0.35">
      <c r="A145" s="36"/>
      <c r="B145" s="36"/>
      <c r="C145" s="36"/>
      <c r="D145" s="36"/>
      <c r="E145" s="36"/>
      <c r="F145" s="37"/>
      <c r="G145" s="37"/>
      <c r="H145" s="37"/>
      <c r="I145" s="36"/>
    </row>
    <row r="146" spans="1:10" ht="22.15" customHeight="1" x14ac:dyDescent="0.35">
      <c r="A146" s="36"/>
      <c r="B146" s="36"/>
      <c r="C146" s="36"/>
      <c r="D146" s="36"/>
      <c r="E146" s="36"/>
      <c r="F146" s="37"/>
      <c r="G146" s="37"/>
      <c r="H146" s="37"/>
      <c r="I146" s="36"/>
    </row>
    <row r="147" spans="1:10" ht="22.15" customHeight="1" x14ac:dyDescent="0.35">
      <c r="A147" s="38" t="s">
        <v>18</v>
      </c>
      <c r="B147" s="53" t="s">
        <v>19</v>
      </c>
      <c r="C147" s="53"/>
      <c r="E147" s="200"/>
      <c r="F147" s="50"/>
      <c r="G147" s="50"/>
      <c r="H147" s="50"/>
      <c r="I147" s="36"/>
    </row>
    <row r="148" spans="1:10" ht="22.15" customHeight="1" x14ac:dyDescent="0.35">
      <c r="A148" s="36"/>
      <c r="B148" s="36"/>
      <c r="C148" s="36"/>
      <c r="D148" s="36"/>
      <c r="E148" s="36"/>
      <c r="F148" s="37"/>
      <c r="G148" s="37"/>
      <c r="H148" s="37"/>
      <c r="I148" s="36"/>
    </row>
    <row r="149" spans="1:10" ht="22.15" customHeight="1" x14ac:dyDescent="0.35">
      <c r="A149" s="36"/>
      <c r="B149" s="36"/>
      <c r="C149" s="36"/>
      <c r="D149" s="36"/>
      <c r="E149" s="36"/>
      <c r="F149" s="37"/>
      <c r="G149" s="37"/>
      <c r="H149" s="37"/>
      <c r="I149" s="36"/>
    </row>
    <row r="150" spans="1:10" ht="22.15" customHeight="1" x14ac:dyDescent="0.35">
      <c r="A150" s="369" t="s">
        <v>452</v>
      </c>
      <c r="B150" s="369"/>
      <c r="C150" s="369"/>
      <c r="D150" s="369"/>
      <c r="E150" s="369"/>
      <c r="F150" s="369"/>
      <c r="G150" s="369"/>
      <c r="H150" s="369"/>
    </row>
    <row r="151" spans="1:10" ht="22.15" customHeight="1" x14ac:dyDescent="0.35">
      <c r="A151" s="34" t="s">
        <v>155</v>
      </c>
      <c r="B151" s="53"/>
      <c r="C151" s="53"/>
      <c r="D151" s="53"/>
    </row>
    <row r="152" spans="1:10" ht="22.15" customHeight="1" x14ac:dyDescent="0.35">
      <c r="A152" s="53" t="s">
        <v>317</v>
      </c>
    </row>
    <row r="153" spans="1:10" ht="22.15" customHeight="1" x14ac:dyDescent="0.35">
      <c r="A153" s="353" t="s">
        <v>0</v>
      </c>
      <c r="B153" s="354"/>
      <c r="C153" s="354"/>
      <c r="D153" s="354"/>
      <c r="E153" s="355"/>
      <c r="F153" s="208">
        <v>2026</v>
      </c>
      <c r="G153" s="196"/>
      <c r="H153" s="208">
        <v>2025</v>
      </c>
      <c r="J153" s="82"/>
    </row>
    <row r="154" spans="1:10" ht="22.15" customHeight="1" x14ac:dyDescent="0.35">
      <c r="A154" s="162" t="s">
        <v>9</v>
      </c>
      <c r="B154" s="262"/>
      <c r="C154" s="262"/>
      <c r="D154" s="262"/>
      <c r="E154" s="263"/>
      <c r="F154" s="79">
        <f>303876.93+1986231.25</f>
        <v>2290108.1800000002</v>
      </c>
      <c r="G154" s="80"/>
      <c r="H154" s="79">
        <f>127923.3+430692.08</f>
        <v>558615.38</v>
      </c>
      <c r="J154" s="82"/>
    </row>
    <row r="155" spans="1:10" ht="22.15" customHeight="1" x14ac:dyDescent="0.35">
      <c r="A155" s="162" t="s">
        <v>10</v>
      </c>
      <c r="B155" s="262"/>
      <c r="C155" s="262"/>
      <c r="D155" s="262"/>
      <c r="E155" s="263"/>
      <c r="F155" s="79">
        <v>236083.17</v>
      </c>
      <c r="G155" s="80"/>
      <c r="H155" s="79">
        <v>399796.71</v>
      </c>
      <c r="J155" s="82"/>
    </row>
    <row r="156" spans="1:10" ht="22.15" customHeight="1" x14ac:dyDescent="0.35">
      <c r="A156" s="162" t="s">
        <v>11</v>
      </c>
      <c r="B156" s="262"/>
      <c r="C156" s="262"/>
      <c r="D156" s="262"/>
      <c r="E156" s="263"/>
      <c r="F156" s="79">
        <v>181500.33</v>
      </c>
      <c r="G156" s="80"/>
      <c r="H156" s="79">
        <f>43917.84+50650</f>
        <v>94567.84</v>
      </c>
      <c r="J156" s="82"/>
    </row>
    <row r="157" spans="1:10" ht="22.15" customHeight="1" x14ac:dyDescent="0.35">
      <c r="A157" s="162" t="s">
        <v>12</v>
      </c>
      <c r="B157" s="262"/>
      <c r="C157" s="262"/>
      <c r="D157" s="262"/>
      <c r="E157" s="263"/>
      <c r="F157" s="79">
        <f>25650+49116.23+1295294.13+689+725600</f>
        <v>2096349.3599999999</v>
      </c>
      <c r="G157" s="80"/>
      <c r="H157" s="79">
        <f>222808.01+916771.46+1304041.69</f>
        <v>2443621.16</v>
      </c>
      <c r="J157" s="82"/>
    </row>
    <row r="158" spans="1:10" ht="22.15" hidden="1" customHeight="1" x14ac:dyDescent="0.35">
      <c r="A158" s="162" t="s">
        <v>334</v>
      </c>
      <c r="B158" s="262"/>
      <c r="C158" s="262"/>
      <c r="D158" s="262"/>
      <c r="E158" s="263"/>
      <c r="F158" s="79"/>
      <c r="G158" s="80"/>
      <c r="H158" s="79"/>
      <c r="J158" s="82"/>
    </row>
    <row r="159" spans="1:10" s="53" customFormat="1" ht="22.15" customHeight="1" x14ac:dyDescent="0.35">
      <c r="A159" s="258" t="s">
        <v>159</v>
      </c>
      <c r="B159" s="259"/>
      <c r="C159" s="259"/>
      <c r="D159" s="259"/>
      <c r="E159" s="260"/>
      <c r="F159" s="40">
        <f>SUM(F154:F158)</f>
        <v>4804041.04</v>
      </c>
      <c r="G159" s="41"/>
      <c r="H159" s="40">
        <f>SUM(H154:H158)</f>
        <v>3496601.0900000003</v>
      </c>
      <c r="I159" s="38"/>
      <c r="J159" s="83"/>
    </row>
    <row r="160" spans="1:10" ht="22.15" customHeight="1" x14ac:dyDescent="0.35">
      <c r="A160" s="264" t="s">
        <v>148</v>
      </c>
      <c r="B160" s="265"/>
      <c r="C160" s="265"/>
      <c r="D160" s="265"/>
      <c r="E160" s="266"/>
      <c r="F160" s="54">
        <v>-49116.23</v>
      </c>
      <c r="G160" s="43"/>
      <c r="H160" s="54">
        <v>-222808.01</v>
      </c>
      <c r="I160" s="49"/>
      <c r="J160" s="82"/>
    </row>
    <row r="161" spans="1:10" s="53" customFormat="1" ht="22.15" customHeight="1" x14ac:dyDescent="0.35">
      <c r="A161" s="258" t="s">
        <v>160</v>
      </c>
      <c r="B161" s="259"/>
      <c r="C161" s="259"/>
      <c r="D161" s="259"/>
      <c r="E161" s="260"/>
      <c r="F161" s="40">
        <f>SUM(F159:F160)</f>
        <v>4754924.8099999996</v>
      </c>
      <c r="G161" s="41"/>
      <c r="H161" s="40">
        <f>SUM(H159:H160)</f>
        <v>3273793.08</v>
      </c>
      <c r="I161" s="38"/>
      <c r="J161" s="83"/>
    </row>
    <row r="162" spans="1:10" ht="22.15" customHeight="1" x14ac:dyDescent="0.35">
      <c r="A162" s="36"/>
      <c r="B162" s="36"/>
      <c r="C162" s="36"/>
      <c r="D162" s="36"/>
      <c r="E162" s="36"/>
      <c r="F162" s="37"/>
      <c r="G162" s="37"/>
      <c r="H162" s="37"/>
      <c r="I162" s="36"/>
    </row>
    <row r="163" spans="1:10" ht="22.15" customHeight="1" x14ac:dyDescent="0.35">
      <c r="A163" s="36"/>
      <c r="B163" s="36"/>
      <c r="C163" s="36"/>
      <c r="D163" s="36"/>
      <c r="E163" s="36"/>
      <c r="F163" s="37"/>
      <c r="G163" s="37"/>
      <c r="H163" s="37"/>
      <c r="I163" s="36"/>
    </row>
    <row r="164" spans="1:10" ht="22.15" customHeight="1" x14ac:dyDescent="0.35">
      <c r="A164" s="36"/>
      <c r="B164" s="36"/>
      <c r="C164" s="36"/>
      <c r="D164" s="36"/>
      <c r="E164" s="36"/>
      <c r="F164" s="37"/>
      <c r="G164" s="37"/>
      <c r="H164" s="37"/>
      <c r="I164" s="36"/>
    </row>
    <row r="165" spans="1:10" ht="22.15" customHeight="1" x14ac:dyDescent="0.35">
      <c r="A165" s="36"/>
      <c r="B165" s="36"/>
      <c r="C165" s="36"/>
      <c r="D165" s="36"/>
      <c r="E165" s="36"/>
      <c r="F165" s="37"/>
      <c r="G165" s="37"/>
      <c r="H165" s="37"/>
      <c r="I165" s="36"/>
    </row>
    <row r="166" spans="1:10" ht="22.15" customHeight="1" x14ac:dyDescent="0.35">
      <c r="A166" s="36"/>
      <c r="B166" s="36"/>
      <c r="C166" s="36"/>
      <c r="D166" s="36"/>
      <c r="E166" s="36"/>
      <c r="F166" s="37"/>
      <c r="G166" s="37"/>
      <c r="H166" s="37"/>
      <c r="I166" s="36"/>
    </row>
    <row r="167" spans="1:10" ht="22.15" customHeight="1" x14ac:dyDescent="0.35">
      <c r="A167" s="36"/>
      <c r="B167" s="36"/>
      <c r="C167" s="36"/>
      <c r="D167" s="36"/>
      <c r="E167" s="36"/>
      <c r="F167" s="37"/>
      <c r="G167" s="37"/>
      <c r="H167" s="37"/>
      <c r="I167" s="36"/>
    </row>
    <row r="168" spans="1:10" ht="22.15" customHeight="1" x14ac:dyDescent="0.35">
      <c r="A168" s="93" t="s">
        <v>13</v>
      </c>
      <c r="B168" s="55" t="s">
        <v>14</v>
      </c>
      <c r="C168" s="39"/>
      <c r="D168" s="39"/>
      <c r="E168" s="39"/>
      <c r="F168" s="50"/>
      <c r="G168" s="50"/>
      <c r="H168" s="50"/>
      <c r="I168" s="36"/>
    </row>
    <row r="169" spans="1:10" ht="22.15" customHeight="1" x14ac:dyDescent="0.35">
      <c r="A169" s="93"/>
      <c r="B169" s="55"/>
      <c r="C169" s="39"/>
      <c r="D169" s="39"/>
      <c r="E169" s="39"/>
      <c r="F169" s="50"/>
      <c r="G169" s="50"/>
      <c r="H169" s="50"/>
      <c r="I169" s="36"/>
    </row>
    <row r="170" spans="1:10" ht="22.15" customHeight="1" x14ac:dyDescent="0.35">
      <c r="A170" s="63" t="s">
        <v>453</v>
      </c>
      <c r="B170" s="63"/>
      <c r="C170" s="63"/>
      <c r="D170" s="63"/>
      <c r="E170" s="63"/>
      <c r="F170" s="56"/>
      <c r="G170" s="56"/>
      <c r="H170" s="56"/>
      <c r="I170" s="63"/>
    </row>
    <row r="171" spans="1:10" ht="22.15" customHeight="1" x14ac:dyDescent="0.35">
      <c r="A171" s="36" t="s">
        <v>155</v>
      </c>
      <c r="B171" s="36"/>
      <c r="C171" s="36"/>
      <c r="D171" s="36"/>
      <c r="E171" s="36"/>
      <c r="F171" s="37"/>
      <c r="G171" s="37"/>
      <c r="H171" s="37"/>
      <c r="I171" s="36"/>
    </row>
    <row r="172" spans="1:10" s="53" customFormat="1" ht="22.15" customHeight="1" x14ac:dyDescent="0.35">
      <c r="A172" s="258" t="s">
        <v>0</v>
      </c>
      <c r="B172" s="259"/>
      <c r="C172" s="259"/>
      <c r="D172" s="259"/>
      <c r="E172" s="260"/>
      <c r="F172" s="151">
        <v>2026</v>
      </c>
      <c r="G172" s="41"/>
      <c r="H172" s="151">
        <v>2025</v>
      </c>
      <c r="I172" s="38"/>
      <c r="J172" s="83"/>
    </row>
    <row r="173" spans="1:10" ht="22.15" customHeight="1" x14ac:dyDescent="0.35">
      <c r="A173" s="264" t="s">
        <v>15</v>
      </c>
      <c r="B173" s="259"/>
      <c r="C173" s="259"/>
      <c r="D173" s="259"/>
      <c r="E173" s="260"/>
      <c r="F173" s="42">
        <v>2559893.33</v>
      </c>
      <c r="G173" s="43"/>
      <c r="H173" s="42">
        <v>2488262.4</v>
      </c>
      <c r="I173" s="36"/>
      <c r="J173" s="82"/>
    </row>
    <row r="174" spans="1:10" s="53" customFormat="1" ht="22.15" customHeight="1" x14ac:dyDescent="0.35">
      <c r="A174" s="258" t="s">
        <v>149</v>
      </c>
      <c r="B174" s="259"/>
      <c r="C174" s="259"/>
      <c r="D174" s="259"/>
      <c r="E174" s="260"/>
      <c r="F174" s="40">
        <f>SUM(F173:F173)</f>
        <v>2559893.33</v>
      </c>
      <c r="G174" s="41"/>
      <c r="H174" s="40">
        <f>SUM(H173:H173)</f>
        <v>2488262.4</v>
      </c>
      <c r="I174" s="57"/>
      <c r="J174" s="83"/>
    </row>
    <row r="175" spans="1:10" ht="22.15" customHeight="1" x14ac:dyDescent="0.35">
      <c r="A175" s="36"/>
      <c r="B175" s="36"/>
      <c r="C175" s="36"/>
      <c r="D175" s="36"/>
      <c r="E175" s="36"/>
      <c r="F175" s="37"/>
      <c r="G175" s="37"/>
      <c r="H175" s="37"/>
      <c r="I175" s="36"/>
    </row>
    <row r="176" spans="1:10" ht="22.15" customHeight="1" x14ac:dyDescent="0.35">
      <c r="A176" s="36"/>
      <c r="B176" s="36"/>
      <c r="C176" s="36"/>
      <c r="D176" s="36"/>
      <c r="E176" s="36"/>
      <c r="F176" s="37"/>
      <c r="G176" s="37"/>
      <c r="H176" s="37"/>
      <c r="I176" s="36"/>
    </row>
    <row r="177" spans="1:11" ht="22.15" customHeight="1" x14ac:dyDescent="0.35">
      <c r="A177" s="36"/>
      <c r="B177" s="36"/>
      <c r="C177" s="36"/>
      <c r="D177" s="36"/>
      <c r="E177" s="36"/>
      <c r="F177" s="37"/>
      <c r="G177" s="37"/>
      <c r="H177" s="37"/>
      <c r="I177" s="36"/>
    </row>
    <row r="178" spans="1:11" ht="22.15" customHeight="1" x14ac:dyDescent="0.35">
      <c r="A178" s="38" t="s">
        <v>16</v>
      </c>
      <c r="B178" s="38" t="s">
        <v>17</v>
      </c>
      <c r="C178" s="39"/>
      <c r="D178" s="39"/>
      <c r="E178" s="36"/>
      <c r="F178" s="37"/>
      <c r="G178" s="37"/>
      <c r="H178" s="37"/>
      <c r="I178" s="36"/>
    </row>
    <row r="179" spans="1:11" ht="22.15" customHeight="1" x14ac:dyDescent="0.35">
      <c r="A179" s="36"/>
      <c r="B179" s="36"/>
      <c r="C179" s="36"/>
      <c r="D179" s="36"/>
      <c r="E179" s="36"/>
      <c r="F179" s="37"/>
      <c r="G179" s="37"/>
      <c r="H179" s="37"/>
      <c r="I179" s="36"/>
    </row>
    <row r="180" spans="1:11" ht="22.15" customHeight="1" x14ac:dyDescent="0.35">
      <c r="A180" s="63" t="s">
        <v>454</v>
      </c>
      <c r="B180" s="63"/>
      <c r="C180" s="63"/>
      <c r="D180" s="63"/>
      <c r="E180" s="36"/>
      <c r="F180" s="37"/>
      <c r="G180" s="37"/>
      <c r="H180" s="37"/>
      <c r="I180" s="36"/>
    </row>
    <row r="181" spans="1:11" ht="22.15" customHeight="1" x14ac:dyDescent="0.35">
      <c r="A181" s="36"/>
      <c r="B181" s="36"/>
      <c r="C181" s="36"/>
      <c r="D181" s="36"/>
      <c r="E181" s="36"/>
      <c r="F181" s="37"/>
      <c r="G181" s="37"/>
      <c r="H181" s="37"/>
      <c r="I181" s="36"/>
    </row>
    <row r="182" spans="1:11" s="53" customFormat="1" ht="22.15" customHeight="1" x14ac:dyDescent="0.35">
      <c r="A182" s="258" t="s">
        <v>0</v>
      </c>
      <c r="B182" s="259"/>
      <c r="C182" s="259"/>
      <c r="D182" s="259"/>
      <c r="E182" s="260"/>
      <c r="F182" s="152">
        <v>2026</v>
      </c>
      <c r="G182" s="41"/>
      <c r="H182" s="152">
        <v>2025</v>
      </c>
      <c r="I182" s="38"/>
      <c r="J182" s="83"/>
    </row>
    <row r="183" spans="1:11" s="53" customFormat="1" ht="22.15" customHeight="1" x14ac:dyDescent="0.35">
      <c r="A183" s="162" t="s">
        <v>26</v>
      </c>
      <c r="B183" s="262"/>
      <c r="C183" s="262"/>
      <c r="D183" s="262"/>
      <c r="E183" s="263"/>
      <c r="F183" s="79">
        <v>51765</v>
      </c>
      <c r="G183" s="80"/>
      <c r="H183" s="79">
        <v>47328</v>
      </c>
      <c r="K183" s="34"/>
    </row>
    <row r="184" spans="1:11" ht="22.15" customHeight="1" x14ac:dyDescent="0.35">
      <c r="A184" s="162" t="s">
        <v>27</v>
      </c>
      <c r="B184" s="262"/>
      <c r="C184" s="262"/>
      <c r="D184" s="262"/>
      <c r="E184" s="263"/>
      <c r="F184" s="79">
        <v>188802.44</v>
      </c>
      <c r="G184" s="80"/>
      <c r="H184" s="79">
        <v>114179.78</v>
      </c>
    </row>
    <row r="185" spans="1:11" ht="22.15" customHeight="1" x14ac:dyDescent="0.35">
      <c r="A185" s="162" t="s">
        <v>174</v>
      </c>
      <c r="B185" s="262"/>
      <c r="C185" s="262"/>
      <c r="D185" s="262"/>
      <c r="E185" s="263"/>
      <c r="F185" s="79">
        <v>11841.65</v>
      </c>
      <c r="G185" s="80"/>
      <c r="H185" s="79">
        <v>10826.68</v>
      </c>
    </row>
    <row r="186" spans="1:11" ht="22.15" customHeight="1" x14ac:dyDescent="0.35">
      <c r="A186" s="162" t="s">
        <v>182</v>
      </c>
      <c r="B186" s="262"/>
      <c r="C186" s="262"/>
      <c r="D186" s="262"/>
      <c r="E186" s="263"/>
      <c r="F186" s="79">
        <f>345599.48+2627284.24</f>
        <v>2972883.72</v>
      </c>
      <c r="G186" s="80">
        <v>62937.65</v>
      </c>
      <c r="H186" s="79">
        <f>123436.21+1335437.35</f>
        <v>1458873.56</v>
      </c>
    </row>
    <row r="187" spans="1:11" ht="22.15" customHeight="1" x14ac:dyDescent="0.35">
      <c r="A187" s="261" t="s">
        <v>268</v>
      </c>
      <c r="B187" s="262"/>
      <c r="C187" s="262"/>
      <c r="D187" s="262"/>
      <c r="E187" s="158"/>
      <c r="F187" s="40">
        <f>SUM(F183:F186)</f>
        <v>3225292.81</v>
      </c>
      <c r="G187" s="41"/>
      <c r="H187" s="40">
        <f>SUM(H183:H186)</f>
        <v>1631208.02</v>
      </c>
      <c r="I187" s="36"/>
    </row>
    <row r="188" spans="1:11" ht="22.15" customHeight="1" x14ac:dyDescent="0.35">
      <c r="A188" s="55"/>
      <c r="B188" s="55"/>
      <c r="C188" s="55"/>
      <c r="D188" s="55"/>
      <c r="E188" s="55"/>
      <c r="F188" s="41"/>
      <c r="G188" s="41"/>
      <c r="H188" s="41"/>
      <c r="I188" s="36"/>
    </row>
    <row r="189" spans="1:11" ht="22.15" customHeight="1" x14ac:dyDescent="0.35">
      <c r="A189" s="36"/>
      <c r="B189" s="36"/>
      <c r="C189" s="36"/>
      <c r="D189" s="36"/>
      <c r="E189" s="36"/>
      <c r="F189" s="37"/>
      <c r="G189" s="37"/>
      <c r="H189" s="37"/>
    </row>
    <row r="190" spans="1:11" ht="22.15" customHeight="1" x14ac:dyDescent="0.35">
      <c r="A190" s="36"/>
      <c r="B190" s="36"/>
      <c r="C190" s="36"/>
      <c r="D190" s="36"/>
      <c r="E190" s="36"/>
      <c r="F190" s="37"/>
      <c r="G190" s="37"/>
      <c r="H190" s="37"/>
    </row>
    <row r="191" spans="1:11" ht="22.15" customHeight="1" x14ac:dyDescent="0.35">
      <c r="A191" s="38" t="s">
        <v>22</v>
      </c>
      <c r="B191" s="38" t="s">
        <v>23</v>
      </c>
      <c r="C191" s="38"/>
      <c r="D191" s="38"/>
      <c r="E191" s="36"/>
      <c r="F191" s="37"/>
      <c r="G191" s="37"/>
      <c r="H191" s="37"/>
    </row>
    <row r="192" spans="1:11" ht="22.15" customHeight="1" x14ac:dyDescent="0.35">
      <c r="A192" s="38"/>
      <c r="B192" s="38"/>
      <c r="C192" s="38"/>
      <c r="D192" s="38"/>
      <c r="E192" s="36"/>
      <c r="F192" s="37"/>
      <c r="G192" s="37"/>
      <c r="H192" s="37"/>
    </row>
    <row r="193" spans="1:17" ht="22.15" customHeight="1" x14ac:dyDescent="0.35">
      <c r="A193" s="38"/>
      <c r="B193" s="38"/>
      <c r="C193" s="38"/>
      <c r="D193" s="38"/>
      <c r="E193" s="36"/>
      <c r="F193" s="37"/>
      <c r="G193" s="37"/>
      <c r="H193" s="37"/>
      <c r="I193" s="36"/>
      <c r="J193" s="82"/>
    </row>
    <row r="194" spans="1:17" ht="22.15" customHeight="1" x14ac:dyDescent="0.35">
      <c r="A194" s="58" t="s">
        <v>434</v>
      </c>
      <c r="B194" s="58"/>
      <c r="C194" s="58"/>
      <c r="D194" s="58"/>
      <c r="E194" s="59"/>
      <c r="F194" s="165"/>
      <c r="G194" s="165"/>
      <c r="H194" s="165"/>
      <c r="I194" s="36"/>
      <c r="J194" s="34"/>
    </row>
    <row r="195" spans="1:17" s="53" customFormat="1" ht="22.15" customHeight="1" x14ac:dyDescent="0.35">
      <c r="A195" s="59" t="s">
        <v>435</v>
      </c>
      <c r="B195" s="59"/>
      <c r="C195" s="59"/>
      <c r="D195" s="59"/>
      <c r="E195" s="59"/>
      <c r="F195" s="60"/>
      <c r="G195" s="60"/>
      <c r="H195" s="60"/>
      <c r="I195" s="52"/>
      <c r="J195" s="83"/>
    </row>
    <row r="196" spans="1:17" ht="22.15" customHeight="1" x14ac:dyDescent="0.35">
      <c r="A196" s="59" t="s">
        <v>455</v>
      </c>
      <c r="B196" s="59"/>
      <c r="C196" s="59"/>
      <c r="D196" s="59"/>
      <c r="E196" s="59"/>
      <c r="F196" s="60"/>
      <c r="G196" s="60"/>
      <c r="H196" s="60"/>
      <c r="I196" s="36"/>
    </row>
    <row r="197" spans="1:17" ht="22.15" customHeight="1" x14ac:dyDescent="0.35">
      <c r="A197" s="59"/>
      <c r="B197" s="59"/>
      <c r="C197" s="59"/>
      <c r="D197" s="59"/>
      <c r="E197" s="59"/>
      <c r="F197" s="60"/>
      <c r="G197" s="60"/>
      <c r="H197" s="60"/>
      <c r="I197" s="51"/>
    </row>
    <row r="198" spans="1:17" ht="22.15" customHeight="1" x14ac:dyDescent="0.35">
      <c r="A198" s="258" t="s">
        <v>2</v>
      </c>
      <c r="B198" s="259"/>
      <c r="C198" s="259" t="s">
        <v>3</v>
      </c>
      <c r="D198" s="259"/>
      <c r="E198" s="260"/>
      <c r="F198" s="152">
        <v>2026</v>
      </c>
      <c r="G198" s="41"/>
      <c r="H198" s="152">
        <v>2025</v>
      </c>
      <c r="I198" s="36"/>
    </row>
    <row r="199" spans="1:17" ht="22.15" customHeight="1" x14ac:dyDescent="0.35">
      <c r="A199" s="162" t="s">
        <v>281</v>
      </c>
      <c r="B199" s="262"/>
      <c r="C199" s="262"/>
      <c r="D199" s="262"/>
      <c r="E199" s="263"/>
      <c r="F199" s="42">
        <v>4232626.24</v>
      </c>
      <c r="G199" s="43"/>
      <c r="H199" s="42">
        <v>6391125.4699999997</v>
      </c>
      <c r="I199" s="36"/>
    </row>
    <row r="200" spans="1:17" ht="22.15" customHeight="1" x14ac:dyDescent="0.35">
      <c r="A200" s="258" t="s">
        <v>24</v>
      </c>
      <c r="B200" s="259"/>
      <c r="C200" s="259"/>
      <c r="D200" s="259"/>
      <c r="E200" s="260"/>
      <c r="F200" s="40">
        <f>+F199</f>
        <v>4232626.24</v>
      </c>
      <c r="G200" s="41"/>
      <c r="H200" s="40">
        <f>+H199</f>
        <v>6391125.4699999997</v>
      </c>
      <c r="I200" s="36"/>
    </row>
    <row r="201" spans="1:17" ht="22.15" customHeight="1" x14ac:dyDescent="0.35">
      <c r="A201" s="36"/>
      <c r="B201" s="36"/>
      <c r="C201" s="36"/>
      <c r="D201" s="36"/>
      <c r="E201" s="36"/>
      <c r="F201" s="37"/>
      <c r="G201" s="37"/>
      <c r="H201" s="37"/>
      <c r="I201" s="36"/>
    </row>
    <row r="202" spans="1:17" ht="22.15" customHeight="1" x14ac:dyDescent="0.35">
      <c r="A202" s="36"/>
      <c r="B202" s="36"/>
      <c r="C202" s="36"/>
      <c r="D202" s="36"/>
      <c r="E202" s="36"/>
      <c r="F202" s="37"/>
      <c r="G202" s="37"/>
      <c r="H202" s="37"/>
      <c r="I202" s="36"/>
      <c r="Q202" s="195"/>
    </row>
    <row r="203" spans="1:17" ht="22.15" customHeight="1" x14ac:dyDescent="0.35">
      <c r="A203" s="36"/>
      <c r="B203" s="36"/>
      <c r="C203" s="36"/>
      <c r="D203" s="36"/>
      <c r="E203" s="36"/>
      <c r="F203" s="37"/>
      <c r="G203" s="37"/>
      <c r="H203" s="37"/>
      <c r="I203" s="36"/>
      <c r="Q203" s="195"/>
    </row>
    <row r="204" spans="1:17" ht="22.15" customHeight="1" x14ac:dyDescent="0.35">
      <c r="A204" s="36"/>
      <c r="B204" s="36"/>
      <c r="D204" s="36"/>
      <c r="E204" s="36"/>
      <c r="F204" s="61"/>
      <c r="G204" s="45"/>
      <c r="H204" s="61"/>
      <c r="I204" s="36"/>
      <c r="Q204" s="195"/>
    </row>
    <row r="205" spans="1:17" ht="22.15" customHeight="1" x14ac:dyDescent="0.35">
      <c r="A205" s="39"/>
      <c r="B205" s="39"/>
      <c r="C205" s="39"/>
      <c r="D205" s="39"/>
      <c r="E205" s="39"/>
      <c r="F205" s="62"/>
      <c r="G205" s="62"/>
      <c r="H205" s="62"/>
      <c r="I205" s="36"/>
      <c r="Q205" s="298"/>
    </row>
    <row r="206" spans="1:17" ht="22.15" customHeight="1" x14ac:dyDescent="0.35">
      <c r="A206" s="36"/>
      <c r="B206" s="36"/>
      <c r="C206" s="36"/>
      <c r="D206" s="36"/>
      <c r="E206" s="36"/>
      <c r="F206" s="37"/>
      <c r="G206" s="37"/>
      <c r="H206" s="37"/>
      <c r="I206" s="36"/>
      <c r="Q206" s="195"/>
    </row>
    <row r="207" spans="1:17" ht="22.15" customHeight="1" x14ac:dyDescent="0.35">
      <c r="A207" s="38"/>
      <c r="B207" s="38"/>
      <c r="C207" s="38"/>
      <c r="D207" s="38"/>
      <c r="E207" s="38"/>
      <c r="F207" s="62"/>
      <c r="G207" s="62"/>
      <c r="H207" s="62"/>
      <c r="I207" s="36"/>
    </row>
    <row r="208" spans="1:17" ht="22.15" customHeight="1" x14ac:dyDescent="0.35">
      <c r="A208" s="36"/>
      <c r="B208" s="36"/>
      <c r="C208" s="36"/>
      <c r="D208" s="36"/>
      <c r="E208" s="36"/>
      <c r="F208" s="37"/>
      <c r="G208" s="37"/>
      <c r="H208" s="37"/>
      <c r="I208" s="36"/>
    </row>
    <row r="209" spans="1:10" ht="22.15" customHeight="1" x14ac:dyDescent="0.35">
      <c r="A209" s="36"/>
      <c r="B209" s="36"/>
      <c r="C209" s="36"/>
      <c r="D209" s="36"/>
      <c r="E209" s="36"/>
      <c r="F209" s="37"/>
      <c r="G209" s="37"/>
      <c r="H209" s="37"/>
      <c r="I209" s="36"/>
    </row>
    <row r="210" spans="1:10" ht="22.15" customHeight="1" x14ac:dyDescent="0.35">
      <c r="A210" s="36"/>
      <c r="B210" s="36"/>
      <c r="C210" s="36"/>
      <c r="D210" s="36"/>
      <c r="E210" s="36"/>
      <c r="F210" s="37"/>
      <c r="G210" s="37"/>
      <c r="H210" s="37"/>
      <c r="I210" s="36"/>
    </row>
    <row r="211" spans="1:10" ht="22.15" customHeight="1" x14ac:dyDescent="0.35">
      <c r="A211" s="36"/>
      <c r="B211" s="36"/>
      <c r="C211" s="36"/>
      <c r="D211" s="36"/>
      <c r="E211" s="36"/>
      <c r="F211" s="37"/>
      <c r="G211" s="37"/>
      <c r="H211" s="37"/>
      <c r="I211" s="36"/>
    </row>
    <row r="212" spans="1:10" ht="22.15" customHeight="1" x14ac:dyDescent="0.35">
      <c r="A212" s="36"/>
      <c r="B212" s="36"/>
      <c r="C212" s="36"/>
      <c r="D212" s="36"/>
      <c r="E212" s="36"/>
      <c r="F212" s="37"/>
      <c r="G212" s="37"/>
      <c r="H212" s="37"/>
      <c r="I212" s="36"/>
    </row>
    <row r="213" spans="1:10" ht="22.15" customHeight="1" x14ac:dyDescent="0.35">
      <c r="A213" s="36"/>
      <c r="B213" s="36"/>
      <c r="C213" s="36"/>
      <c r="D213" s="36"/>
      <c r="E213" s="36"/>
      <c r="F213" s="37"/>
      <c r="G213" s="37"/>
      <c r="H213" s="37"/>
      <c r="I213" s="36"/>
    </row>
    <row r="214" spans="1:10" ht="22.15" customHeight="1" x14ac:dyDescent="0.35">
      <c r="A214" s="36"/>
      <c r="B214" s="36"/>
      <c r="C214" s="36"/>
      <c r="D214" s="36"/>
      <c r="E214" s="36"/>
      <c r="F214" s="37"/>
      <c r="G214" s="37"/>
      <c r="H214" s="37"/>
      <c r="I214" s="36"/>
    </row>
    <row r="215" spans="1:10" ht="22.15" customHeight="1" x14ac:dyDescent="0.35">
      <c r="A215" s="36"/>
      <c r="B215" s="36"/>
      <c r="C215" s="36"/>
      <c r="D215" s="36"/>
      <c r="E215" s="36"/>
      <c r="F215" s="37"/>
      <c r="G215" s="37"/>
      <c r="H215" s="37"/>
      <c r="I215" s="36"/>
    </row>
    <row r="216" spans="1:10" ht="22.15" customHeight="1" x14ac:dyDescent="0.35">
      <c r="A216" s="36"/>
      <c r="B216" s="36"/>
      <c r="C216" s="36"/>
      <c r="D216" s="36"/>
      <c r="E216" s="36"/>
      <c r="F216" s="37"/>
      <c r="G216" s="37"/>
      <c r="H216" s="37"/>
      <c r="I216" s="36"/>
    </row>
    <row r="217" spans="1:10" ht="22.15" customHeight="1" x14ac:dyDescent="0.35">
      <c r="A217" s="36"/>
      <c r="B217" s="36"/>
      <c r="C217" s="36"/>
      <c r="D217" s="36"/>
      <c r="E217" s="36"/>
      <c r="F217" s="37"/>
      <c r="G217" s="37"/>
      <c r="H217" s="37"/>
      <c r="I217" s="36"/>
    </row>
    <row r="218" spans="1:10" ht="22.15" customHeight="1" x14ac:dyDescent="0.35">
      <c r="A218" s="36"/>
      <c r="B218" s="36"/>
      <c r="C218" s="36"/>
      <c r="D218" s="36"/>
      <c r="E218" s="36"/>
      <c r="F218" s="37"/>
      <c r="G218" s="37"/>
      <c r="H218" s="37"/>
      <c r="I218" s="36"/>
    </row>
    <row r="219" spans="1:10" ht="22.15" customHeight="1" x14ac:dyDescent="0.35">
      <c r="A219" s="36"/>
      <c r="B219" s="36"/>
      <c r="C219" s="36"/>
      <c r="D219" s="36"/>
      <c r="E219" s="36"/>
      <c r="F219" s="37"/>
      <c r="G219" s="37"/>
      <c r="H219" s="37"/>
      <c r="I219" s="36"/>
    </row>
    <row r="220" spans="1:10" ht="22.15" customHeight="1" x14ac:dyDescent="0.35">
      <c r="A220" s="36"/>
      <c r="B220" s="36"/>
      <c r="C220" s="36"/>
      <c r="D220" s="36"/>
      <c r="E220" s="36"/>
      <c r="F220" s="37"/>
      <c r="G220" s="37"/>
      <c r="H220" s="37"/>
      <c r="I220" s="36"/>
    </row>
    <row r="221" spans="1:10" ht="22.15" customHeight="1" x14ac:dyDescent="0.35">
      <c r="A221" s="36"/>
      <c r="B221" s="36"/>
      <c r="C221" s="36"/>
      <c r="D221" s="36"/>
      <c r="E221" s="36"/>
      <c r="F221" s="37"/>
      <c r="G221" s="37"/>
      <c r="H221" s="37"/>
      <c r="I221" s="36"/>
    </row>
    <row r="222" spans="1:10" ht="22.15" customHeight="1" x14ac:dyDescent="0.35">
      <c r="A222" s="36"/>
      <c r="B222" s="36"/>
      <c r="C222" s="36"/>
      <c r="D222" s="36"/>
      <c r="E222" s="36"/>
      <c r="F222" s="37"/>
      <c r="G222" s="37"/>
      <c r="H222" s="37"/>
      <c r="I222" s="36"/>
    </row>
    <row r="223" spans="1:10" s="53" customFormat="1" ht="22.15" customHeight="1" x14ac:dyDescent="0.35">
      <c r="A223" s="38" t="s">
        <v>25</v>
      </c>
      <c r="B223" s="38" t="s">
        <v>28</v>
      </c>
      <c r="C223" s="38"/>
      <c r="D223" s="38"/>
      <c r="E223" s="93"/>
      <c r="F223" s="37"/>
      <c r="G223" s="37"/>
      <c r="H223" s="37"/>
      <c r="I223" s="38"/>
      <c r="J223" s="150"/>
    </row>
    <row r="224" spans="1:10" ht="22.15" customHeight="1" x14ac:dyDescent="0.35">
      <c r="C224" s="36"/>
      <c r="D224" s="36"/>
      <c r="E224" s="36"/>
      <c r="F224" s="37"/>
      <c r="G224" s="37"/>
      <c r="H224" s="37"/>
      <c r="I224" s="36"/>
    </row>
    <row r="225" spans="1:10" ht="22.15" customHeight="1" x14ac:dyDescent="0.35">
      <c r="A225" s="36" t="s">
        <v>456</v>
      </c>
      <c r="B225" s="36"/>
      <c r="C225" s="36"/>
      <c r="D225" s="36"/>
      <c r="E225" s="36"/>
      <c r="F225" s="36"/>
      <c r="G225" s="36"/>
      <c r="H225" s="36"/>
      <c r="I225" s="36"/>
    </row>
    <row r="226" spans="1:10" ht="22.15" customHeight="1" x14ac:dyDescent="0.35">
      <c r="A226" s="36" t="s">
        <v>457</v>
      </c>
      <c r="B226" s="36"/>
      <c r="C226" s="36"/>
      <c r="D226" s="36"/>
      <c r="E226" s="36"/>
      <c r="F226" s="37"/>
      <c r="G226" s="37"/>
      <c r="H226" s="37"/>
      <c r="I226" s="36"/>
    </row>
    <row r="227" spans="1:10" ht="22.15" customHeight="1" x14ac:dyDescent="0.35">
      <c r="F227" s="34"/>
      <c r="G227" s="34"/>
      <c r="H227" s="34"/>
      <c r="I227" s="36"/>
    </row>
    <row r="228" spans="1:10" ht="22.15" customHeight="1" x14ac:dyDescent="0.35">
      <c r="F228" s="34"/>
      <c r="G228" s="34"/>
      <c r="H228" s="34"/>
      <c r="I228" s="36"/>
    </row>
    <row r="229" spans="1:10" ht="22.15" customHeight="1" thickBot="1" x14ac:dyDescent="0.4">
      <c r="F229" s="34"/>
      <c r="G229" s="34"/>
      <c r="H229" s="34"/>
      <c r="I229" s="36"/>
    </row>
    <row r="230" spans="1:10" ht="69" customHeight="1" thickBot="1" x14ac:dyDescent="0.4">
      <c r="A230" s="38"/>
      <c r="B230" s="191">
        <v>2026</v>
      </c>
      <c r="C230" s="192"/>
      <c r="D230" s="210" t="s">
        <v>304</v>
      </c>
      <c r="E230" s="210" t="s">
        <v>305</v>
      </c>
      <c r="F230" s="193" t="s">
        <v>31</v>
      </c>
      <c r="G230" s="62"/>
      <c r="H230" s="62"/>
      <c r="I230" s="36"/>
    </row>
    <row r="231" spans="1:10" ht="22.15" customHeight="1" thickBot="1" x14ac:dyDescent="0.4">
      <c r="A231" s="36"/>
      <c r="B231" s="186" t="s">
        <v>302</v>
      </c>
      <c r="C231" s="36"/>
      <c r="D231" s="36"/>
      <c r="E231" s="36"/>
      <c r="F231" s="37"/>
      <c r="G231" s="37"/>
      <c r="H231" s="37"/>
      <c r="I231" s="36"/>
    </row>
    <row r="232" spans="1:10" ht="22.15" customHeight="1" x14ac:dyDescent="0.35">
      <c r="A232" s="36"/>
      <c r="B232" s="36"/>
      <c r="C232" s="36"/>
      <c r="D232" s="36"/>
      <c r="E232" s="36"/>
      <c r="F232" s="37"/>
      <c r="G232" s="37"/>
      <c r="H232" s="37"/>
      <c r="I232" s="36"/>
    </row>
    <row r="233" spans="1:10" ht="22.15" customHeight="1" x14ac:dyDescent="0.35">
      <c r="A233" s="36"/>
      <c r="B233" s="36" t="s">
        <v>301</v>
      </c>
      <c r="C233" s="36"/>
      <c r="D233" s="49">
        <v>53661559.789999999</v>
      </c>
      <c r="E233" s="49">
        <v>29733249.440000001</v>
      </c>
      <c r="F233" s="37">
        <f>+D233+E233</f>
        <v>83394809.230000004</v>
      </c>
      <c r="G233" s="37"/>
      <c r="H233" s="37"/>
      <c r="I233" s="36"/>
    </row>
    <row r="234" spans="1:10" ht="22.15" customHeight="1" x14ac:dyDescent="0.35">
      <c r="A234" s="36"/>
      <c r="B234" s="36" t="s">
        <v>306</v>
      </c>
      <c r="C234" s="36"/>
      <c r="D234" s="49">
        <v>2085884.03</v>
      </c>
      <c r="E234" s="49">
        <v>0</v>
      </c>
      <c r="F234" s="37">
        <f t="shared" ref="F234:F235" si="0">+D234+E234</f>
        <v>2085884.03</v>
      </c>
      <c r="G234" s="37"/>
      <c r="H234" s="37"/>
      <c r="I234" s="36"/>
    </row>
    <row r="235" spans="1:10" ht="22.15" customHeight="1" x14ac:dyDescent="0.35">
      <c r="A235" s="36"/>
      <c r="B235" s="36" t="s">
        <v>33</v>
      </c>
      <c r="C235" s="36"/>
      <c r="D235" s="189">
        <v>0</v>
      </c>
      <c r="E235" s="189">
        <v>0</v>
      </c>
      <c r="F235" s="188">
        <f t="shared" si="0"/>
        <v>0</v>
      </c>
      <c r="G235" s="37"/>
      <c r="H235" s="37"/>
      <c r="I235" s="36"/>
    </row>
    <row r="236" spans="1:10" ht="22.15" customHeight="1" x14ac:dyDescent="0.35">
      <c r="A236" s="36"/>
      <c r="B236" s="36" t="s">
        <v>307</v>
      </c>
      <c r="C236" s="36"/>
      <c r="D236" s="187">
        <f>SUM(D233:D235)</f>
        <v>55747443.82</v>
      </c>
      <c r="E236" s="187">
        <f t="shared" ref="E236" si="1">SUM(E233:E235)</f>
        <v>29733249.440000001</v>
      </c>
      <c r="F236" s="188">
        <f>SUM(F233:F235)</f>
        <v>85480693.260000005</v>
      </c>
      <c r="G236" s="37"/>
      <c r="H236" s="37"/>
      <c r="I236" s="36"/>
    </row>
    <row r="237" spans="1:10" ht="22.15" customHeight="1" x14ac:dyDescent="0.35">
      <c r="A237" s="36"/>
      <c r="B237" s="36"/>
      <c r="C237" s="36"/>
      <c r="D237" s="36"/>
      <c r="E237" s="36"/>
      <c r="F237" s="37"/>
      <c r="G237" s="37"/>
      <c r="H237" s="37"/>
      <c r="I237" s="36"/>
    </row>
    <row r="238" spans="1:10" ht="22.15" customHeight="1" x14ac:dyDescent="0.35">
      <c r="A238" s="36"/>
      <c r="B238" s="66" t="s">
        <v>308</v>
      </c>
      <c r="C238" s="66"/>
      <c r="D238" s="66"/>
      <c r="E238" s="36"/>
      <c r="F238" s="37"/>
      <c r="G238" s="37"/>
      <c r="H238" s="49"/>
      <c r="I238" s="36"/>
    </row>
    <row r="239" spans="1:10" s="53" customFormat="1" ht="22.15" customHeight="1" x14ac:dyDescent="0.35">
      <c r="A239" s="36"/>
      <c r="B239" s="36"/>
      <c r="C239" s="36"/>
      <c r="D239" s="36"/>
      <c r="E239" s="36"/>
      <c r="F239" s="37"/>
      <c r="G239" s="37"/>
      <c r="H239" s="37"/>
      <c r="I239" s="38"/>
      <c r="J239" s="150"/>
    </row>
    <row r="240" spans="1:10" ht="22.15" customHeight="1" x14ac:dyDescent="0.35">
      <c r="A240" s="36"/>
      <c r="B240" s="36" t="s">
        <v>301</v>
      </c>
      <c r="C240" s="36"/>
      <c r="D240" s="49">
        <v>-41456468.789999999</v>
      </c>
      <c r="E240" s="49">
        <v>-14120584.9</v>
      </c>
      <c r="F240" s="255">
        <f>+D240+E240</f>
        <v>-55577053.689999998</v>
      </c>
      <c r="G240" s="37"/>
      <c r="H240" s="37"/>
      <c r="I240" s="36"/>
    </row>
    <row r="241" spans="1:17" ht="22.15" customHeight="1" x14ac:dyDescent="0.35">
      <c r="A241" s="36"/>
      <c r="B241" s="36" t="s">
        <v>309</v>
      </c>
      <c r="C241" s="36"/>
      <c r="D241" s="49">
        <f>-3570951.76+308322.41</f>
        <v>-3262629.3499999996</v>
      </c>
      <c r="E241" s="49">
        <v>-308322.40999999997</v>
      </c>
      <c r="F241" s="255">
        <f>+D241+E241</f>
        <v>-3570951.76</v>
      </c>
      <c r="G241" s="37"/>
      <c r="H241" s="37"/>
      <c r="I241" s="36"/>
    </row>
    <row r="242" spans="1:17" ht="22.15" customHeight="1" x14ac:dyDescent="0.35">
      <c r="B242" s="34" t="s">
        <v>33</v>
      </c>
      <c r="D242" s="207">
        <v>0</v>
      </c>
      <c r="E242" s="207">
        <v>0</v>
      </c>
      <c r="F242" s="189">
        <v>0</v>
      </c>
    </row>
    <row r="243" spans="1:17" ht="22.15" customHeight="1" x14ac:dyDescent="0.35">
      <c r="B243" s="34" t="s">
        <v>307</v>
      </c>
      <c r="D243" s="207">
        <f>SUM(D240:D242)</f>
        <v>-44719098.140000001</v>
      </c>
      <c r="E243" s="207">
        <f>SUM(E240:E242)</f>
        <v>-14428907.310000001</v>
      </c>
      <c r="F243" s="207">
        <f>SUM(F240:F242)</f>
        <v>-59148005.449999996</v>
      </c>
    </row>
    <row r="244" spans="1:17" ht="22.15" customHeight="1" thickBot="1" x14ac:dyDescent="0.4">
      <c r="A244" s="38"/>
      <c r="B244" s="38" t="s">
        <v>303</v>
      </c>
      <c r="C244" s="38"/>
      <c r="D244" s="190">
        <f>+D236+D243</f>
        <v>11028345.68</v>
      </c>
      <c r="E244" s="190">
        <f>+E236+E243</f>
        <v>15304342.130000001</v>
      </c>
      <c r="F244" s="317">
        <f>+F236+F243-0.12</f>
        <v>26332687.690000009</v>
      </c>
      <c r="G244" s="62"/>
      <c r="H244" s="62"/>
      <c r="I244" s="36"/>
    </row>
    <row r="245" spans="1:17" ht="22.15" customHeight="1" thickTop="1" x14ac:dyDescent="0.35">
      <c r="A245" s="38"/>
      <c r="B245" s="38"/>
      <c r="C245" s="38"/>
      <c r="D245" s="285"/>
      <c r="E245" s="285"/>
      <c r="F245" s="285"/>
      <c r="G245" s="62"/>
      <c r="H245" s="62"/>
      <c r="I245" s="36"/>
    </row>
    <row r="246" spans="1:17" ht="22.15" customHeight="1" thickBot="1" x14ac:dyDescent="0.4">
      <c r="A246" s="36"/>
      <c r="B246" s="36"/>
      <c r="C246" s="36"/>
      <c r="D246" s="36"/>
      <c r="E246" s="36"/>
      <c r="F246" s="37"/>
      <c r="G246" s="37"/>
      <c r="I246" s="36"/>
    </row>
    <row r="247" spans="1:17" ht="64.900000000000006" customHeight="1" thickBot="1" x14ac:dyDescent="0.4">
      <c r="A247" s="53"/>
      <c r="B247" s="203">
        <v>2025</v>
      </c>
      <c r="C247" s="204"/>
      <c r="D247" s="209" t="s">
        <v>304</v>
      </c>
      <c r="E247" s="209" t="s">
        <v>305</v>
      </c>
      <c r="F247" s="205" t="s">
        <v>31</v>
      </c>
      <c r="G247" s="149"/>
      <c r="H247" s="149"/>
    </row>
    <row r="248" spans="1:17" ht="27.6" customHeight="1" thickBot="1" x14ac:dyDescent="0.4">
      <c r="B248" s="206" t="s">
        <v>302</v>
      </c>
    </row>
    <row r="249" spans="1:17" ht="22.15" customHeight="1" x14ac:dyDescent="0.35">
      <c r="B249" s="34" t="s">
        <v>301</v>
      </c>
      <c r="D249" s="49">
        <f>48837783.96+62245</f>
        <v>48900028.960000001</v>
      </c>
      <c r="E249" s="49">
        <v>22470106.969999999</v>
      </c>
      <c r="F249" s="37">
        <f>+D249+E249</f>
        <v>71370135.930000007</v>
      </c>
    </row>
    <row r="250" spans="1:17" ht="22.15" customHeight="1" x14ac:dyDescent="0.35">
      <c r="B250" s="34" t="s">
        <v>306</v>
      </c>
      <c r="D250" s="49">
        <v>6842912.8099999996</v>
      </c>
      <c r="E250" s="49">
        <v>0</v>
      </c>
      <c r="F250" s="43">
        <f>+D250+E250</f>
        <v>6842912.8099999996</v>
      </c>
      <c r="Q250" s="297">
        <f>+F244+F270</f>
        <v>26332695.690000009</v>
      </c>
    </row>
    <row r="251" spans="1:17" ht="22.15" customHeight="1" x14ac:dyDescent="0.35">
      <c r="B251" s="34" t="s">
        <v>33</v>
      </c>
      <c r="D251" s="189">
        <v>-62245</v>
      </c>
      <c r="E251" s="189">
        <v>0</v>
      </c>
      <c r="F251" s="296">
        <f>+D251+E251</f>
        <v>-62245</v>
      </c>
    </row>
    <row r="252" spans="1:17" ht="22.15" customHeight="1" x14ac:dyDescent="0.35">
      <c r="B252" s="34" t="s">
        <v>307</v>
      </c>
      <c r="D252" s="187">
        <f>SUM(D249:D251)</f>
        <v>55680696.770000003</v>
      </c>
      <c r="E252" s="187">
        <f>SUM(E249:E251)</f>
        <v>22470106.969999999</v>
      </c>
      <c r="F252" s="188">
        <f>SUM(F249:F251)</f>
        <v>78150803.74000001</v>
      </c>
    </row>
    <row r="253" spans="1:17" ht="22.15" customHeight="1" x14ac:dyDescent="0.35">
      <c r="D253" s="36"/>
      <c r="E253" s="36"/>
      <c r="F253" s="37"/>
    </row>
    <row r="254" spans="1:17" ht="22.15" customHeight="1" x14ac:dyDescent="0.35">
      <c r="B254" s="91" t="s">
        <v>308</v>
      </c>
      <c r="C254" s="91"/>
      <c r="D254" s="66"/>
      <c r="E254" s="36"/>
      <c r="F254" s="37"/>
    </row>
    <row r="255" spans="1:17" ht="22.15" customHeight="1" x14ac:dyDescent="0.35">
      <c r="B255" s="34" t="s">
        <v>301</v>
      </c>
      <c r="D255" s="36"/>
      <c r="E255" s="36"/>
      <c r="F255" s="37"/>
    </row>
    <row r="256" spans="1:17" ht="22.15" customHeight="1" x14ac:dyDescent="0.35">
      <c r="B256" s="34" t="s">
        <v>309</v>
      </c>
      <c r="D256" s="49">
        <f>-41809270.41+2036773.5</f>
        <v>-39772496.909999996</v>
      </c>
      <c r="E256" s="49">
        <f>-15662959.16+855657.87</f>
        <v>-14807301.290000001</v>
      </c>
      <c r="F256" s="255">
        <f>+D256+E256</f>
        <v>-54579798.199999996</v>
      </c>
    </row>
    <row r="257" spans="1:21" ht="22.15" customHeight="1" x14ac:dyDescent="0.35">
      <c r="B257" s="34" t="s">
        <v>384</v>
      </c>
      <c r="D257" s="49">
        <f>-2954676.36+855657.87</f>
        <v>-2099018.4899999998</v>
      </c>
      <c r="E257" s="49">
        <v>-855657.87</v>
      </c>
      <c r="F257" s="49">
        <f>+D257+E257</f>
        <v>-2954676.36</v>
      </c>
    </row>
    <row r="258" spans="1:21" ht="22.15" customHeight="1" x14ac:dyDescent="0.35">
      <c r="B258" s="34" t="s">
        <v>33</v>
      </c>
      <c r="D258" s="82">
        <v>62245</v>
      </c>
      <c r="E258" s="82">
        <v>0</v>
      </c>
      <c r="F258" s="316">
        <f>+D258+E258</f>
        <v>62245</v>
      </c>
    </row>
    <row r="259" spans="1:21" ht="22.15" customHeight="1" x14ac:dyDescent="0.35">
      <c r="A259" s="53"/>
      <c r="B259" s="34" t="s">
        <v>307</v>
      </c>
      <c r="D259" s="207">
        <f>SUM(D256:D258)-0.01</f>
        <v>-41809270.409999996</v>
      </c>
      <c r="E259" s="207">
        <f>SUM(E256:E258)</f>
        <v>-15662959.16</v>
      </c>
      <c r="F259" s="189">
        <f>SUM(D259:E259)</f>
        <v>-57472229.569999993</v>
      </c>
      <c r="G259" s="149"/>
      <c r="H259" s="149"/>
    </row>
    <row r="260" spans="1:21" ht="22.15" customHeight="1" thickBot="1" x14ac:dyDescent="0.4">
      <c r="B260" s="53" t="s">
        <v>303</v>
      </c>
      <c r="C260" s="53"/>
      <c r="D260" s="190">
        <f>+D252+D259</f>
        <v>13871426.360000007</v>
      </c>
      <c r="E260" s="190">
        <f>+E252+E259</f>
        <v>6807147.8099999987</v>
      </c>
      <c r="F260" s="190">
        <f>+D260+E260</f>
        <v>20678574.170000006</v>
      </c>
    </row>
    <row r="261" spans="1:21" ht="22.15" customHeight="1" thickTop="1" x14ac:dyDescent="0.35"/>
    <row r="262" spans="1:21" ht="22.15" customHeight="1" x14ac:dyDescent="0.35"/>
    <row r="263" spans="1:21" ht="22.15" customHeight="1" x14ac:dyDescent="0.35">
      <c r="A263" s="38"/>
      <c r="B263" s="36"/>
      <c r="C263" s="36"/>
      <c r="D263" s="36"/>
      <c r="E263" s="36" t="s">
        <v>385</v>
      </c>
      <c r="F263" s="37"/>
      <c r="G263" s="37"/>
      <c r="H263" s="37"/>
      <c r="I263" s="36"/>
    </row>
    <row r="264" spans="1:21" ht="22.15" customHeight="1" x14ac:dyDescent="0.35">
      <c r="A264" s="38" t="s">
        <v>40</v>
      </c>
      <c r="B264" s="38" t="s">
        <v>42</v>
      </c>
      <c r="C264" s="38"/>
      <c r="D264" s="36"/>
      <c r="E264" s="36"/>
      <c r="F264" s="37"/>
      <c r="G264" s="37"/>
      <c r="H264" s="37"/>
      <c r="J264" s="82"/>
    </row>
    <row r="265" spans="1:21" s="53" customFormat="1" ht="22.15" customHeight="1" x14ac:dyDescent="0.35">
      <c r="A265" s="36" t="s">
        <v>458</v>
      </c>
      <c r="B265" s="36"/>
      <c r="C265" s="36"/>
      <c r="D265" s="36"/>
      <c r="E265" s="36"/>
      <c r="F265" s="37"/>
      <c r="G265" s="37"/>
      <c r="H265" s="37"/>
      <c r="I265" s="38"/>
      <c r="J265" s="83"/>
    </row>
    <row r="266" spans="1:21" s="53" customFormat="1" ht="22.15" customHeight="1" x14ac:dyDescent="0.35">
      <c r="A266" s="63"/>
      <c r="B266" s="63"/>
      <c r="C266" s="63"/>
      <c r="D266" s="63"/>
      <c r="E266" s="63"/>
      <c r="F266" s="56"/>
      <c r="G266" s="56"/>
      <c r="H266" s="56"/>
      <c r="I266" s="38"/>
      <c r="J266" s="83"/>
    </row>
    <row r="267" spans="1:21" ht="22.15" customHeight="1" x14ac:dyDescent="0.35">
      <c r="A267" s="350" t="s">
        <v>4</v>
      </c>
      <c r="B267" s="351"/>
      <c r="C267" s="351"/>
      <c r="D267" s="351"/>
      <c r="E267" s="352"/>
      <c r="F267" s="152">
        <v>2026</v>
      </c>
      <c r="G267" s="41"/>
      <c r="H267" s="152">
        <v>2025</v>
      </c>
      <c r="I267" s="37"/>
    </row>
    <row r="268" spans="1:21" ht="22.15" customHeight="1" x14ac:dyDescent="0.35">
      <c r="A268" s="264" t="s">
        <v>43</v>
      </c>
      <c r="B268" s="259"/>
      <c r="C268" s="259"/>
      <c r="D268" s="259"/>
      <c r="E268" s="260"/>
      <c r="F268" s="42">
        <v>5184418.3</v>
      </c>
      <c r="G268" s="43"/>
      <c r="H268" s="42">
        <v>8792058.5700000003</v>
      </c>
      <c r="I268" s="36"/>
    </row>
    <row r="269" spans="1:21" ht="22.15" customHeight="1" x14ac:dyDescent="0.35">
      <c r="A269" s="162" t="s">
        <v>335</v>
      </c>
      <c r="B269" s="262"/>
      <c r="C269" s="262"/>
      <c r="D269" s="259"/>
      <c r="E269" s="260"/>
      <c r="F269" s="42">
        <v>-5184410.3</v>
      </c>
      <c r="G269" s="43"/>
      <c r="H269" s="42">
        <v>-8792033.5700000003</v>
      </c>
      <c r="I269" s="36"/>
    </row>
    <row r="270" spans="1:21" ht="22.15" customHeight="1" x14ac:dyDescent="0.35">
      <c r="A270" s="258" t="s">
        <v>47</v>
      </c>
      <c r="B270" s="259"/>
      <c r="C270" s="259"/>
      <c r="D270" s="259"/>
      <c r="E270" s="260"/>
      <c r="F270" s="40">
        <f>SUM(F268:F269)</f>
        <v>8</v>
      </c>
      <c r="G270" s="41"/>
      <c r="H270" s="40">
        <f>SUM(H268:H269)</f>
        <v>25</v>
      </c>
      <c r="I270" s="36"/>
    </row>
    <row r="271" spans="1:21" ht="22.15" customHeight="1" x14ac:dyDescent="0.35">
      <c r="A271" s="55"/>
      <c r="B271" s="55"/>
      <c r="C271" s="55"/>
      <c r="D271" s="55"/>
      <c r="E271" s="55"/>
      <c r="F271" s="64"/>
      <c r="G271" s="41"/>
      <c r="H271" s="64"/>
      <c r="I271" s="36"/>
      <c r="T271" s="195">
        <f>SUM(F270+F236)</f>
        <v>85480701.260000005</v>
      </c>
      <c r="U271" s="318">
        <f>+F244</f>
        <v>26332687.690000009</v>
      </c>
    </row>
    <row r="272" spans="1:21" ht="22.15" customHeight="1" x14ac:dyDescent="0.35">
      <c r="A272" s="55"/>
      <c r="B272" s="55"/>
      <c r="C272" s="55"/>
      <c r="D272" s="55"/>
      <c r="E272" s="55"/>
      <c r="F272" s="64"/>
      <c r="G272" s="41"/>
      <c r="H272" s="64"/>
      <c r="I272" s="36"/>
    </row>
    <row r="273" spans="1:11" ht="22.15" customHeight="1" x14ac:dyDescent="0.35">
      <c r="A273" s="38" t="s">
        <v>41</v>
      </c>
      <c r="B273" s="38" t="s">
        <v>45</v>
      </c>
      <c r="C273" s="38"/>
      <c r="D273" s="38"/>
      <c r="E273" s="36"/>
      <c r="F273" s="37"/>
      <c r="G273" s="37"/>
      <c r="H273" s="37"/>
      <c r="I273" s="36"/>
      <c r="J273" s="82"/>
    </row>
    <row r="274" spans="1:11" ht="22.15" customHeight="1" x14ac:dyDescent="0.35">
      <c r="A274" s="38"/>
      <c r="B274" s="38"/>
      <c r="C274" s="38"/>
      <c r="D274" s="38"/>
      <c r="E274" s="36"/>
      <c r="F274" s="37"/>
      <c r="G274" s="37"/>
      <c r="H274" s="37"/>
      <c r="I274" s="36"/>
      <c r="J274" s="82"/>
    </row>
    <row r="275" spans="1:11" ht="22.15" customHeight="1" x14ac:dyDescent="0.35">
      <c r="A275" s="36" t="s">
        <v>428</v>
      </c>
      <c r="B275" s="36"/>
      <c r="C275" s="36"/>
      <c r="D275" s="36"/>
      <c r="E275" s="36"/>
      <c r="F275" s="37"/>
      <c r="G275" s="37"/>
      <c r="H275" s="37"/>
      <c r="I275" s="36"/>
      <c r="J275" s="82"/>
    </row>
    <row r="276" spans="1:11" ht="22.15" customHeight="1" x14ac:dyDescent="0.35">
      <c r="A276" s="36" t="s">
        <v>459</v>
      </c>
      <c r="B276" s="38"/>
      <c r="C276" s="38"/>
      <c r="D276" s="38"/>
      <c r="E276" s="36"/>
      <c r="F276" s="37"/>
      <c r="G276" s="37"/>
      <c r="H276" s="37"/>
      <c r="I276" s="36"/>
      <c r="J276" s="82"/>
    </row>
    <row r="277" spans="1:11" ht="22.15" customHeight="1" x14ac:dyDescent="0.35">
      <c r="A277" s="53"/>
      <c r="B277" s="53"/>
      <c r="C277" s="53"/>
      <c r="D277" s="53"/>
      <c r="I277" s="195"/>
    </row>
    <row r="278" spans="1:11" ht="22.15" customHeight="1" x14ac:dyDescent="0.35">
      <c r="A278" s="353" t="s">
        <v>4</v>
      </c>
      <c r="B278" s="354"/>
      <c r="C278" s="354"/>
      <c r="D278" s="354"/>
      <c r="E278" s="355"/>
      <c r="F278" s="183">
        <v>2026</v>
      </c>
      <c r="G278" s="196"/>
      <c r="H278" s="183">
        <v>2025</v>
      </c>
    </row>
    <row r="279" spans="1:11" ht="22.15" customHeight="1" x14ac:dyDescent="0.35">
      <c r="A279" s="357" t="s">
        <v>282</v>
      </c>
      <c r="B279" s="358"/>
      <c r="C279" s="358"/>
      <c r="D279" s="358"/>
      <c r="E279" s="359"/>
      <c r="F279" s="79">
        <v>20500143.23</v>
      </c>
      <c r="G279" s="80"/>
      <c r="H279" s="79">
        <v>13351366.52</v>
      </c>
      <c r="K279" s="35"/>
    </row>
    <row r="280" spans="1:11" ht="22.15" customHeight="1" x14ac:dyDescent="0.35">
      <c r="A280" s="357" t="s">
        <v>46</v>
      </c>
      <c r="B280" s="358"/>
      <c r="C280" s="358"/>
      <c r="D280" s="358"/>
      <c r="E280" s="359"/>
      <c r="F280" s="79">
        <v>5792024.1200000001</v>
      </c>
      <c r="G280" s="80"/>
      <c r="H280" s="79">
        <v>2812226.49</v>
      </c>
    </row>
    <row r="281" spans="1:11" ht="22.15" customHeight="1" x14ac:dyDescent="0.35">
      <c r="A281" s="261" t="s">
        <v>150</v>
      </c>
      <c r="B281" s="76"/>
      <c r="C281" s="77"/>
      <c r="D281" s="77"/>
      <c r="E281" s="77"/>
      <c r="F281" s="74">
        <f>SUM(F279:F280)</f>
        <v>26292167.350000001</v>
      </c>
      <c r="G281" s="196"/>
      <c r="H281" s="74">
        <f>SUM(H279:H280)</f>
        <v>16163593.01</v>
      </c>
    </row>
    <row r="282" spans="1:11" ht="22.15" customHeight="1" x14ac:dyDescent="0.35">
      <c r="A282" s="36"/>
      <c r="B282" s="36"/>
      <c r="C282" s="36"/>
      <c r="D282" s="36"/>
      <c r="E282" s="36"/>
      <c r="F282" s="37"/>
      <c r="G282" s="37"/>
      <c r="H282" s="37"/>
      <c r="I282" s="36"/>
    </row>
    <row r="283" spans="1:11" ht="22.15" customHeight="1" x14ac:dyDescent="0.35">
      <c r="A283" s="38" t="s">
        <v>337</v>
      </c>
      <c r="B283" s="38"/>
      <c r="C283" s="38"/>
      <c r="D283" s="38"/>
      <c r="E283" s="36"/>
      <c r="F283" s="37"/>
      <c r="G283" s="37"/>
      <c r="H283" s="37"/>
      <c r="I283" s="36"/>
    </row>
    <row r="284" spans="1:11" ht="22.15" customHeight="1" x14ac:dyDescent="0.35">
      <c r="A284" s="343" t="s">
        <v>425</v>
      </c>
      <c r="B284" s="344"/>
      <c r="C284" s="344"/>
      <c r="D284" s="344"/>
      <c r="E284" s="345"/>
      <c r="F284" s="281">
        <v>0</v>
      </c>
      <c r="G284" s="37"/>
      <c r="H284" s="282">
        <v>60882.94</v>
      </c>
      <c r="I284" s="36"/>
    </row>
    <row r="285" spans="1:11" ht="22.15" customHeight="1" x14ac:dyDescent="0.35">
      <c r="A285" s="278" t="s">
        <v>497</v>
      </c>
      <c r="B285" s="279"/>
      <c r="C285" s="279"/>
      <c r="D285" s="279"/>
      <c r="E285" s="280"/>
      <c r="F285" s="281">
        <v>3779262.5</v>
      </c>
      <c r="G285" s="37"/>
      <c r="H285" s="282">
        <v>0</v>
      </c>
      <c r="I285" s="36"/>
    </row>
    <row r="286" spans="1:11" ht="22.15" customHeight="1" x14ac:dyDescent="0.35">
      <c r="A286" s="343" t="s">
        <v>498</v>
      </c>
      <c r="B286" s="344"/>
      <c r="C286" s="344"/>
      <c r="D286" s="344"/>
      <c r="E286" s="345"/>
      <c r="F286" s="281">
        <v>30834.49</v>
      </c>
      <c r="G286" s="37"/>
      <c r="H286" s="282">
        <v>0</v>
      </c>
      <c r="I286" s="36"/>
    </row>
    <row r="287" spans="1:11" ht="22.15" customHeight="1" x14ac:dyDescent="0.35">
      <c r="A287" s="343" t="s">
        <v>338</v>
      </c>
      <c r="B287" s="344"/>
      <c r="C287" s="344"/>
      <c r="D287" s="344"/>
      <c r="E287" s="345"/>
      <c r="F287" s="282">
        <v>190386</v>
      </c>
      <c r="G287" s="37"/>
      <c r="H287" s="282">
        <v>26362.5</v>
      </c>
      <c r="I287" s="36"/>
    </row>
    <row r="288" spans="1:11" ht="22.15" customHeight="1" x14ac:dyDescent="0.35">
      <c r="A288" s="278" t="s">
        <v>390</v>
      </c>
      <c r="B288" s="279"/>
      <c r="C288" s="279"/>
      <c r="D288" s="279"/>
      <c r="E288" s="280"/>
      <c r="F288" s="282">
        <v>15446.01</v>
      </c>
      <c r="G288" s="37"/>
      <c r="H288" s="282">
        <v>161313.81</v>
      </c>
      <c r="I288" s="36"/>
    </row>
    <row r="289" spans="1:9" ht="22.15" customHeight="1" x14ac:dyDescent="0.35">
      <c r="A289" s="278" t="s">
        <v>491</v>
      </c>
      <c r="B289" s="279"/>
      <c r="C289" s="279"/>
      <c r="D289" s="279"/>
      <c r="E289" s="280"/>
      <c r="F289" s="282">
        <v>31657.57</v>
      </c>
      <c r="G289" s="37"/>
      <c r="H289" s="282">
        <v>0</v>
      </c>
      <c r="I289" s="36"/>
    </row>
    <row r="290" spans="1:9" ht="22.15" customHeight="1" x14ac:dyDescent="0.35">
      <c r="A290" s="343" t="s">
        <v>339</v>
      </c>
      <c r="B290" s="344"/>
      <c r="C290" s="344"/>
      <c r="D290" s="344"/>
      <c r="E290" s="345"/>
      <c r="F290" s="282">
        <v>0</v>
      </c>
      <c r="G290" s="37"/>
      <c r="H290" s="282">
        <v>2033687.5</v>
      </c>
      <c r="I290" s="36"/>
    </row>
    <row r="291" spans="1:9" ht="22.15" customHeight="1" x14ac:dyDescent="0.35">
      <c r="A291" s="278" t="s">
        <v>402</v>
      </c>
      <c r="B291" s="279"/>
      <c r="C291" s="279"/>
      <c r="D291" s="279"/>
      <c r="E291" s="280"/>
      <c r="F291" s="282">
        <v>600000</v>
      </c>
      <c r="G291" s="37"/>
      <c r="H291" s="282">
        <v>600000</v>
      </c>
      <c r="I291" s="36"/>
    </row>
    <row r="292" spans="1:9" ht="22.15" customHeight="1" x14ac:dyDescent="0.35">
      <c r="A292" s="278" t="s">
        <v>426</v>
      </c>
      <c r="B292" s="279"/>
      <c r="C292" s="279"/>
      <c r="D292" s="279"/>
      <c r="E292" s="280"/>
      <c r="F292" s="282">
        <v>23334.5</v>
      </c>
      <c r="G292" s="37"/>
      <c r="H292" s="282">
        <v>49315.46</v>
      </c>
      <c r="I292" s="36"/>
    </row>
    <row r="293" spans="1:9" ht="22.15" customHeight="1" x14ac:dyDescent="0.35">
      <c r="A293" s="278" t="s">
        <v>488</v>
      </c>
      <c r="B293" s="279"/>
      <c r="C293" s="279"/>
      <c r="D293" s="279"/>
      <c r="E293" s="280"/>
      <c r="F293" s="282">
        <v>4417864.97</v>
      </c>
      <c r="G293" s="37"/>
      <c r="H293" s="282">
        <v>2579474.44</v>
      </c>
      <c r="I293" s="36"/>
    </row>
    <row r="294" spans="1:9" ht="22.15" customHeight="1" x14ac:dyDescent="0.35">
      <c r="A294" s="343" t="s">
        <v>340</v>
      </c>
      <c r="B294" s="344"/>
      <c r="C294" s="344"/>
      <c r="D294" s="344"/>
      <c r="E294" s="345"/>
      <c r="F294" s="282">
        <v>0</v>
      </c>
      <c r="G294" s="37"/>
      <c r="H294" s="282">
        <v>2001.6</v>
      </c>
      <c r="I294" s="36"/>
    </row>
    <row r="295" spans="1:9" ht="22.15" customHeight="1" x14ac:dyDescent="0.35">
      <c r="A295" s="343" t="s">
        <v>341</v>
      </c>
      <c r="B295" s="344"/>
      <c r="C295" s="344"/>
      <c r="D295" s="344"/>
      <c r="E295" s="345"/>
      <c r="F295" s="283">
        <v>87171.45</v>
      </c>
      <c r="G295" s="37"/>
      <c r="H295" s="283">
        <v>12598.96</v>
      </c>
      <c r="I295" s="36"/>
    </row>
    <row r="296" spans="1:9" ht="22.15" customHeight="1" x14ac:dyDescent="0.35">
      <c r="A296" s="343" t="s">
        <v>342</v>
      </c>
      <c r="B296" s="344"/>
      <c r="C296" s="344"/>
      <c r="D296" s="344"/>
      <c r="E296" s="345"/>
      <c r="F296" s="282">
        <v>259591.92</v>
      </c>
      <c r="G296" s="37"/>
      <c r="H296" s="282">
        <v>0</v>
      </c>
      <c r="I296" s="36"/>
    </row>
    <row r="297" spans="1:9" ht="22.15" customHeight="1" x14ac:dyDescent="0.35">
      <c r="A297" s="278" t="s">
        <v>494</v>
      </c>
      <c r="B297" s="279"/>
      <c r="C297" s="279"/>
      <c r="D297" s="279"/>
      <c r="E297" s="280"/>
      <c r="F297" s="282">
        <v>195491</v>
      </c>
      <c r="G297" s="37"/>
      <c r="H297" s="282">
        <v>0</v>
      </c>
      <c r="I297" s="36"/>
    </row>
    <row r="298" spans="1:9" ht="22.15" customHeight="1" x14ac:dyDescent="0.35">
      <c r="A298" s="278" t="s">
        <v>484</v>
      </c>
      <c r="B298" s="279"/>
      <c r="C298" s="279"/>
      <c r="D298" s="279"/>
      <c r="E298" s="280"/>
      <c r="F298" s="282">
        <v>81000</v>
      </c>
      <c r="G298" s="37"/>
      <c r="H298" s="282">
        <v>0</v>
      </c>
      <c r="I298" s="36"/>
    </row>
    <row r="299" spans="1:9" ht="22.15" customHeight="1" x14ac:dyDescent="0.35">
      <c r="A299" s="343" t="s">
        <v>405</v>
      </c>
      <c r="B299" s="344"/>
      <c r="C299" s="344"/>
      <c r="D299" s="344"/>
      <c r="E299" s="345"/>
      <c r="F299" s="282">
        <v>0</v>
      </c>
      <c r="G299" s="37"/>
      <c r="H299" s="282">
        <v>136454.91</v>
      </c>
      <c r="I299" s="36"/>
    </row>
    <row r="300" spans="1:9" ht="22.15" customHeight="1" x14ac:dyDescent="0.35">
      <c r="A300" s="343" t="s">
        <v>343</v>
      </c>
      <c r="B300" s="344"/>
      <c r="C300" s="344"/>
      <c r="D300" s="344"/>
      <c r="E300" s="345"/>
      <c r="F300" s="282">
        <v>570493</v>
      </c>
      <c r="G300" s="37"/>
      <c r="H300" s="282">
        <v>449088.78</v>
      </c>
      <c r="I300" s="36"/>
    </row>
    <row r="301" spans="1:9" ht="22.15" customHeight="1" x14ac:dyDescent="0.35">
      <c r="A301" s="278" t="s">
        <v>391</v>
      </c>
      <c r="B301" s="279"/>
      <c r="C301" s="279"/>
      <c r="D301" s="279"/>
      <c r="E301" s="280"/>
      <c r="F301" s="282">
        <v>0</v>
      </c>
      <c r="G301" s="37"/>
      <c r="H301" s="282">
        <v>32657.45</v>
      </c>
      <c r="I301" s="36"/>
    </row>
    <row r="302" spans="1:9" ht="22.15" customHeight="1" x14ac:dyDescent="0.35">
      <c r="A302" s="278" t="s">
        <v>403</v>
      </c>
      <c r="B302" s="279"/>
      <c r="C302" s="279"/>
      <c r="D302" s="279"/>
      <c r="E302" s="280"/>
      <c r="F302" s="282">
        <v>0</v>
      </c>
      <c r="G302" s="37"/>
      <c r="H302" s="282">
        <v>128903.63</v>
      </c>
      <c r="I302" s="36"/>
    </row>
    <row r="303" spans="1:9" ht="22.15" customHeight="1" x14ac:dyDescent="0.35">
      <c r="A303" s="343" t="s">
        <v>404</v>
      </c>
      <c r="B303" s="344"/>
      <c r="C303" s="344"/>
      <c r="D303" s="344"/>
      <c r="E303" s="345"/>
      <c r="F303" s="282">
        <v>243321.77</v>
      </c>
      <c r="G303" s="37"/>
      <c r="H303" s="282">
        <v>571132.51</v>
      </c>
      <c r="I303" s="36"/>
    </row>
    <row r="304" spans="1:9" ht="22.15" customHeight="1" x14ac:dyDescent="0.35">
      <c r="A304" s="278" t="s">
        <v>406</v>
      </c>
      <c r="B304" s="279"/>
      <c r="C304" s="279"/>
      <c r="D304" s="279"/>
      <c r="E304" s="280"/>
      <c r="F304" s="282">
        <v>347915.72</v>
      </c>
      <c r="G304" s="37"/>
      <c r="H304" s="282">
        <v>326939.57</v>
      </c>
      <c r="I304" s="36"/>
    </row>
    <row r="305" spans="1:9" ht="22.15" customHeight="1" x14ac:dyDescent="0.35">
      <c r="A305" s="278" t="s">
        <v>407</v>
      </c>
      <c r="B305" s="279"/>
      <c r="C305" s="279"/>
      <c r="D305" s="279"/>
      <c r="E305" s="280"/>
      <c r="F305" s="282">
        <v>0</v>
      </c>
      <c r="G305" s="37"/>
      <c r="H305" s="282">
        <v>314223</v>
      </c>
      <c r="I305" s="36"/>
    </row>
    <row r="306" spans="1:9" ht="22.15" customHeight="1" x14ac:dyDescent="0.35">
      <c r="A306" s="278" t="s">
        <v>374</v>
      </c>
      <c r="B306" s="279"/>
      <c r="C306" s="279"/>
      <c r="D306" s="279"/>
      <c r="E306" s="280"/>
      <c r="F306" s="282">
        <v>165728</v>
      </c>
      <c r="G306" s="37"/>
      <c r="H306" s="282">
        <v>61924</v>
      </c>
      <c r="I306" s="36"/>
    </row>
    <row r="307" spans="1:9" ht="22.15" customHeight="1" x14ac:dyDescent="0.35">
      <c r="A307" s="278" t="s">
        <v>408</v>
      </c>
      <c r="B307" s="279"/>
      <c r="C307" s="279"/>
      <c r="D307" s="279"/>
      <c r="E307" s="280"/>
      <c r="F307" s="282">
        <v>0</v>
      </c>
      <c r="G307" s="37"/>
      <c r="H307" s="282">
        <v>196902.5</v>
      </c>
      <c r="I307" s="36"/>
    </row>
    <row r="308" spans="1:9" ht="22.15" customHeight="1" x14ac:dyDescent="0.35">
      <c r="A308" s="278" t="s">
        <v>394</v>
      </c>
      <c r="B308" s="279"/>
      <c r="C308" s="279"/>
      <c r="D308" s="279"/>
      <c r="E308" s="280"/>
      <c r="F308" s="282">
        <v>0</v>
      </c>
      <c r="G308" s="37"/>
      <c r="H308" s="282">
        <v>112854.53</v>
      </c>
      <c r="I308" s="36"/>
    </row>
    <row r="309" spans="1:9" ht="22.15" customHeight="1" x14ac:dyDescent="0.35">
      <c r="A309" s="278" t="s">
        <v>486</v>
      </c>
      <c r="B309" s="279"/>
      <c r="C309" s="279"/>
      <c r="D309" s="279"/>
      <c r="E309" s="280"/>
      <c r="F309" s="282">
        <v>829559.13</v>
      </c>
      <c r="G309" s="37"/>
      <c r="H309" s="282">
        <v>0</v>
      </c>
      <c r="I309" s="36"/>
    </row>
    <row r="310" spans="1:9" ht="22.15" customHeight="1" x14ac:dyDescent="0.35">
      <c r="A310" s="278" t="s">
        <v>393</v>
      </c>
      <c r="B310" s="279"/>
      <c r="C310" s="279"/>
      <c r="D310" s="279"/>
      <c r="E310" s="280"/>
      <c r="F310" s="282">
        <v>0</v>
      </c>
      <c r="G310" s="37"/>
      <c r="H310" s="282">
        <v>91186.44</v>
      </c>
      <c r="I310" s="36"/>
    </row>
    <row r="311" spans="1:9" ht="22.15" customHeight="1" x14ac:dyDescent="0.35">
      <c r="A311" s="278" t="s">
        <v>375</v>
      </c>
      <c r="B311" s="279"/>
      <c r="C311" s="279"/>
      <c r="D311" s="279"/>
      <c r="E311" s="280"/>
      <c r="F311" s="282">
        <v>425259.61</v>
      </c>
      <c r="G311" s="37"/>
      <c r="H311" s="282">
        <v>0</v>
      </c>
      <c r="I311" s="36"/>
    </row>
    <row r="312" spans="1:9" ht="22.15" customHeight="1" x14ac:dyDescent="0.35">
      <c r="A312" s="278" t="s">
        <v>392</v>
      </c>
      <c r="B312" s="279"/>
      <c r="C312" s="279"/>
      <c r="D312" s="279"/>
      <c r="E312" s="280"/>
      <c r="F312" s="282">
        <v>10325</v>
      </c>
      <c r="G312" s="37"/>
      <c r="H312" s="282">
        <v>0</v>
      </c>
      <c r="I312" s="36"/>
    </row>
    <row r="313" spans="1:9" ht="22.15" customHeight="1" x14ac:dyDescent="0.35">
      <c r="A313" s="278" t="s">
        <v>376</v>
      </c>
      <c r="B313" s="279"/>
      <c r="C313" s="279"/>
      <c r="D313" s="279"/>
      <c r="E313" s="280"/>
      <c r="F313" s="282">
        <v>0</v>
      </c>
      <c r="G313" s="37"/>
      <c r="H313" s="282">
        <v>18299.93</v>
      </c>
      <c r="I313" s="36"/>
    </row>
    <row r="314" spans="1:9" ht="22.15" customHeight="1" x14ac:dyDescent="0.35">
      <c r="A314" s="278" t="s">
        <v>409</v>
      </c>
      <c r="B314" s="279"/>
      <c r="C314" s="279"/>
      <c r="D314" s="279"/>
      <c r="E314" s="280"/>
      <c r="F314" s="282">
        <v>0</v>
      </c>
      <c r="G314" s="37"/>
      <c r="H314" s="282">
        <v>109779.5</v>
      </c>
      <c r="I314" s="36"/>
    </row>
    <row r="315" spans="1:9" ht="22.15" customHeight="1" x14ac:dyDescent="0.35">
      <c r="A315" s="278" t="s">
        <v>410</v>
      </c>
      <c r="B315" s="279"/>
      <c r="C315" s="279"/>
      <c r="D315" s="279"/>
      <c r="E315" s="280"/>
      <c r="F315" s="282">
        <v>0</v>
      </c>
      <c r="G315" s="37"/>
      <c r="H315" s="282">
        <v>230067.6</v>
      </c>
      <c r="I315" s="36"/>
    </row>
    <row r="316" spans="1:9" ht="22.15" customHeight="1" x14ac:dyDescent="0.35">
      <c r="A316" s="343" t="s">
        <v>377</v>
      </c>
      <c r="B316" s="344"/>
      <c r="C316" s="344"/>
      <c r="D316" s="344"/>
      <c r="E316" s="345"/>
      <c r="F316" s="282">
        <v>3800000</v>
      </c>
      <c r="G316" s="37"/>
      <c r="H316" s="282">
        <v>2800000</v>
      </c>
      <c r="I316" s="36"/>
    </row>
    <row r="317" spans="1:9" ht="22.15" customHeight="1" x14ac:dyDescent="0.35">
      <c r="A317" s="278" t="s">
        <v>344</v>
      </c>
      <c r="B317" s="279"/>
      <c r="C317" s="279"/>
      <c r="D317" s="279"/>
      <c r="E317" s="280"/>
      <c r="F317" s="282">
        <v>607500</v>
      </c>
      <c r="G317" s="37"/>
      <c r="H317" s="282">
        <v>0</v>
      </c>
      <c r="I317" s="36"/>
    </row>
    <row r="318" spans="1:9" ht="22.15" customHeight="1" x14ac:dyDescent="0.35">
      <c r="A318" s="278" t="s">
        <v>378</v>
      </c>
      <c r="B318" s="279"/>
      <c r="C318" s="279"/>
      <c r="D318" s="279"/>
      <c r="E318" s="280"/>
      <c r="F318" s="282">
        <v>0</v>
      </c>
      <c r="G318" s="37"/>
      <c r="H318" s="282">
        <v>21492.6</v>
      </c>
      <c r="I318" s="36"/>
    </row>
    <row r="319" spans="1:9" ht="22.15" customHeight="1" x14ac:dyDescent="0.35">
      <c r="A319" s="278" t="s">
        <v>411</v>
      </c>
      <c r="B319" s="279"/>
      <c r="C319" s="279"/>
      <c r="D319" s="279"/>
      <c r="E319" s="280"/>
      <c r="F319" s="282">
        <v>72324.52</v>
      </c>
      <c r="G319" s="37"/>
      <c r="H319" s="282">
        <v>92725.99</v>
      </c>
      <c r="I319" s="36"/>
    </row>
    <row r="320" spans="1:9" ht="22.15" customHeight="1" x14ac:dyDescent="0.35">
      <c r="A320" s="278" t="s">
        <v>412</v>
      </c>
      <c r="B320" s="279"/>
      <c r="C320" s="279"/>
      <c r="D320" s="279"/>
      <c r="E320" s="280"/>
      <c r="F320" s="282">
        <v>240248</v>
      </c>
      <c r="G320" s="37"/>
      <c r="H320" s="282">
        <v>81812</v>
      </c>
      <c r="I320" s="36"/>
    </row>
    <row r="321" spans="1:9" ht="22.15" customHeight="1" x14ac:dyDescent="0.35">
      <c r="A321" s="278" t="s">
        <v>413</v>
      </c>
      <c r="B321" s="279"/>
      <c r="C321" s="279"/>
      <c r="D321" s="279"/>
      <c r="E321" s="280"/>
      <c r="F321" s="282">
        <f>812630.66-25-460</f>
        <v>812145.66</v>
      </c>
      <c r="G321" s="37"/>
      <c r="H321" s="282">
        <v>217011.66</v>
      </c>
      <c r="I321" s="36"/>
    </row>
    <row r="322" spans="1:9" ht="22.15" customHeight="1" x14ac:dyDescent="0.35">
      <c r="A322" s="278" t="s">
        <v>414</v>
      </c>
      <c r="B322" s="279"/>
      <c r="C322" s="279"/>
      <c r="D322" s="279"/>
      <c r="E322" s="280"/>
      <c r="F322" s="282">
        <v>0</v>
      </c>
      <c r="G322" s="37"/>
      <c r="H322" s="282">
        <v>22803.97</v>
      </c>
      <c r="I322" s="36"/>
    </row>
    <row r="323" spans="1:9" ht="22.15" customHeight="1" x14ac:dyDescent="0.35">
      <c r="A323" s="278" t="s">
        <v>379</v>
      </c>
      <c r="B323" s="279"/>
      <c r="C323" s="279"/>
      <c r="D323" s="279"/>
      <c r="E323" s="280"/>
      <c r="F323" s="282">
        <v>169482</v>
      </c>
      <c r="G323" s="37"/>
      <c r="H323" s="282">
        <v>148231</v>
      </c>
      <c r="I323" s="36"/>
    </row>
    <row r="324" spans="1:9" ht="22.15" customHeight="1" x14ac:dyDescent="0.35">
      <c r="A324" s="278" t="s">
        <v>487</v>
      </c>
      <c r="B324" s="279"/>
      <c r="C324" s="279"/>
      <c r="D324" s="279"/>
      <c r="E324" s="280"/>
      <c r="F324" s="282">
        <v>126161</v>
      </c>
      <c r="G324" s="37"/>
      <c r="H324" s="282">
        <v>0</v>
      </c>
      <c r="I324" s="36"/>
    </row>
    <row r="325" spans="1:9" ht="22.15" customHeight="1" x14ac:dyDescent="0.35">
      <c r="A325" s="278" t="s">
        <v>415</v>
      </c>
      <c r="B325" s="279"/>
      <c r="C325" s="279"/>
      <c r="D325" s="279"/>
      <c r="E325" s="280"/>
      <c r="F325" s="282">
        <v>0</v>
      </c>
      <c r="G325" s="37"/>
      <c r="H325" s="282">
        <v>13625.81</v>
      </c>
      <c r="I325" s="36"/>
    </row>
    <row r="326" spans="1:9" ht="22.15" customHeight="1" x14ac:dyDescent="0.35">
      <c r="A326" s="278" t="s">
        <v>416</v>
      </c>
      <c r="B326" s="279"/>
      <c r="C326" s="279"/>
      <c r="D326" s="279"/>
      <c r="E326" s="280"/>
      <c r="F326" s="282">
        <v>0</v>
      </c>
      <c r="G326" s="37"/>
      <c r="H326" s="282">
        <v>27287.47</v>
      </c>
      <c r="I326" s="36"/>
    </row>
    <row r="327" spans="1:9" ht="22.15" customHeight="1" x14ac:dyDescent="0.35">
      <c r="A327" s="278" t="s">
        <v>417</v>
      </c>
      <c r="B327" s="279"/>
      <c r="C327" s="279"/>
      <c r="D327" s="279"/>
      <c r="E327" s="280"/>
      <c r="F327" s="282">
        <v>0</v>
      </c>
      <c r="G327" s="37"/>
      <c r="H327" s="282">
        <v>32832.25</v>
      </c>
      <c r="I327" s="36"/>
    </row>
    <row r="328" spans="1:9" ht="22.15" customHeight="1" x14ac:dyDescent="0.35">
      <c r="A328" s="278" t="s">
        <v>418</v>
      </c>
      <c r="B328" s="279"/>
      <c r="C328" s="279"/>
      <c r="D328" s="279"/>
      <c r="E328" s="280"/>
      <c r="F328" s="282">
        <v>0</v>
      </c>
      <c r="G328" s="37"/>
      <c r="H328" s="282">
        <v>281618.64</v>
      </c>
      <c r="I328" s="36"/>
    </row>
    <row r="329" spans="1:9" ht="22.15" customHeight="1" x14ac:dyDescent="0.35">
      <c r="A329" s="278" t="s">
        <v>419</v>
      </c>
      <c r="B329" s="279"/>
      <c r="C329" s="279"/>
      <c r="D329" s="279"/>
      <c r="E329" s="280"/>
      <c r="F329" s="282">
        <v>0</v>
      </c>
      <c r="G329" s="37"/>
      <c r="H329" s="282">
        <v>9698.7900000000009</v>
      </c>
      <c r="I329" s="36"/>
    </row>
    <row r="330" spans="1:9" ht="22.15" customHeight="1" x14ac:dyDescent="0.35">
      <c r="A330" s="278" t="s">
        <v>420</v>
      </c>
      <c r="B330" s="279"/>
      <c r="C330" s="279"/>
      <c r="D330" s="279"/>
      <c r="E330" s="280"/>
      <c r="F330" s="282">
        <v>192166.03</v>
      </c>
      <c r="G330" s="37"/>
      <c r="H330" s="282">
        <v>27930.21</v>
      </c>
      <c r="I330" s="36"/>
    </row>
    <row r="331" spans="1:9" ht="22.15" customHeight="1" x14ac:dyDescent="0.35">
      <c r="A331" s="278" t="s">
        <v>421</v>
      </c>
      <c r="B331" s="279"/>
      <c r="C331" s="279"/>
      <c r="D331" s="279"/>
      <c r="E331" s="280"/>
      <c r="F331" s="282">
        <v>53749</v>
      </c>
      <c r="G331" s="37"/>
      <c r="H331" s="282">
        <v>45539</v>
      </c>
      <c r="I331" s="36"/>
    </row>
    <row r="332" spans="1:9" ht="22.15" customHeight="1" x14ac:dyDescent="0.35">
      <c r="A332" s="278" t="s">
        <v>485</v>
      </c>
      <c r="B332" s="279"/>
      <c r="C332" s="279"/>
      <c r="D332" s="279"/>
      <c r="E332" s="280"/>
      <c r="F332" s="282">
        <v>84885.35</v>
      </c>
      <c r="G332" s="37"/>
      <c r="H332" s="282">
        <v>0</v>
      </c>
      <c r="I332" s="36"/>
    </row>
    <row r="333" spans="1:9" ht="22.15" customHeight="1" x14ac:dyDescent="0.35">
      <c r="A333" s="278" t="s">
        <v>427</v>
      </c>
      <c r="B333" s="279"/>
      <c r="C333" s="279"/>
      <c r="D333" s="279"/>
      <c r="E333" s="280"/>
      <c r="F333" s="282">
        <v>12980</v>
      </c>
      <c r="G333" s="37"/>
      <c r="H333" s="282">
        <v>16950</v>
      </c>
      <c r="I333" s="36"/>
    </row>
    <row r="334" spans="1:9" ht="22.15" customHeight="1" x14ac:dyDescent="0.35">
      <c r="A334" s="278" t="s">
        <v>380</v>
      </c>
      <c r="B334" s="279"/>
      <c r="C334" s="279"/>
      <c r="D334" s="279"/>
      <c r="E334" s="280"/>
      <c r="F334" s="282">
        <v>0</v>
      </c>
      <c r="G334" s="37"/>
      <c r="H334" s="282">
        <v>0</v>
      </c>
      <c r="I334" s="36"/>
    </row>
    <row r="335" spans="1:9" ht="22.15" customHeight="1" x14ac:dyDescent="0.35">
      <c r="A335" s="278" t="s">
        <v>423</v>
      </c>
      <c r="B335" s="279"/>
      <c r="C335" s="279"/>
      <c r="D335" s="279"/>
      <c r="E335" s="280"/>
      <c r="F335" s="282">
        <v>0</v>
      </c>
      <c r="G335" s="37"/>
      <c r="H335" s="282">
        <v>732450</v>
      </c>
      <c r="I335" s="36"/>
    </row>
    <row r="336" spans="1:9" ht="22.15" customHeight="1" x14ac:dyDescent="0.35">
      <c r="A336" s="278" t="s">
        <v>490</v>
      </c>
      <c r="B336" s="279"/>
      <c r="C336" s="279"/>
      <c r="D336" s="279"/>
      <c r="E336" s="280"/>
      <c r="F336" s="282">
        <v>207965.62</v>
      </c>
      <c r="G336" s="37"/>
      <c r="H336" s="282">
        <v>0</v>
      </c>
      <c r="I336" s="36"/>
    </row>
    <row r="337" spans="1:10" ht="22.15" customHeight="1" x14ac:dyDescent="0.35">
      <c r="A337" s="278" t="s">
        <v>492</v>
      </c>
      <c r="B337" s="279"/>
      <c r="C337" s="279"/>
      <c r="D337" s="279"/>
      <c r="E337" s="280"/>
      <c r="F337" s="282">
        <v>299923.34000000003</v>
      </c>
      <c r="G337" s="37"/>
      <c r="H337" s="282">
        <v>0</v>
      </c>
      <c r="I337" s="36"/>
    </row>
    <row r="338" spans="1:10" ht="22.15" customHeight="1" x14ac:dyDescent="0.35">
      <c r="A338" s="278" t="s">
        <v>489</v>
      </c>
      <c r="B338" s="279"/>
      <c r="C338" s="279"/>
      <c r="D338" s="279"/>
      <c r="E338" s="280"/>
      <c r="F338" s="282">
        <v>101244</v>
      </c>
      <c r="G338" s="37"/>
      <c r="H338" s="282">
        <v>0</v>
      </c>
      <c r="I338" s="36"/>
    </row>
    <row r="339" spans="1:10" ht="22.15" customHeight="1" x14ac:dyDescent="0.35">
      <c r="A339" s="278" t="s">
        <v>422</v>
      </c>
      <c r="B339" s="279"/>
      <c r="C339" s="279"/>
      <c r="D339" s="279"/>
      <c r="E339" s="280"/>
      <c r="F339" s="282">
        <v>0</v>
      </c>
      <c r="G339" s="37"/>
      <c r="H339" s="282">
        <v>2237.4</v>
      </c>
      <c r="I339" s="36"/>
    </row>
    <row r="340" spans="1:10" ht="22.15" customHeight="1" x14ac:dyDescent="0.35">
      <c r="A340" s="343" t="s">
        <v>345</v>
      </c>
      <c r="B340" s="344"/>
      <c r="C340" s="344"/>
      <c r="D340" s="344"/>
      <c r="E340" s="345"/>
      <c r="F340" s="282">
        <v>0</v>
      </c>
      <c r="G340" s="37"/>
      <c r="H340" s="282">
        <v>10327.74</v>
      </c>
      <c r="I340" s="36"/>
    </row>
    <row r="341" spans="1:10" ht="22.15" customHeight="1" x14ac:dyDescent="0.35">
      <c r="A341" s="278" t="s">
        <v>424</v>
      </c>
      <c r="B341" s="279"/>
      <c r="C341" s="279"/>
      <c r="D341" s="279"/>
      <c r="E341" s="280"/>
      <c r="F341" s="282">
        <v>0</v>
      </c>
      <c r="G341" s="37"/>
      <c r="H341" s="282">
        <v>5053.93</v>
      </c>
      <c r="I341" s="36"/>
    </row>
    <row r="342" spans="1:10" ht="22.15" customHeight="1" x14ac:dyDescent="0.35">
      <c r="A342" s="278" t="s">
        <v>395</v>
      </c>
      <c r="B342" s="279"/>
      <c r="C342" s="279"/>
      <c r="D342" s="279"/>
      <c r="E342" s="280"/>
      <c r="F342" s="282">
        <v>0</v>
      </c>
      <c r="G342" s="37"/>
      <c r="H342" s="282">
        <v>0</v>
      </c>
      <c r="I342" s="36"/>
    </row>
    <row r="343" spans="1:10" ht="22.15" customHeight="1" x14ac:dyDescent="0.35">
      <c r="A343" s="278" t="s">
        <v>496</v>
      </c>
      <c r="B343" s="279"/>
      <c r="C343" s="279"/>
      <c r="D343" s="279"/>
      <c r="E343" s="280"/>
      <c r="F343" s="282">
        <v>106212</v>
      </c>
      <c r="G343" s="37"/>
      <c r="H343" s="282">
        <v>0</v>
      </c>
      <c r="I343" s="36"/>
    </row>
    <row r="344" spans="1:10" ht="22.15" customHeight="1" x14ac:dyDescent="0.35">
      <c r="A344" s="343" t="s">
        <v>346</v>
      </c>
      <c r="B344" s="344"/>
      <c r="C344" s="344"/>
      <c r="D344" s="344"/>
      <c r="E344" s="345"/>
      <c r="F344" s="282">
        <v>574006.51</v>
      </c>
      <c r="G344" s="37"/>
      <c r="H344" s="282">
        <v>365322.94</v>
      </c>
      <c r="I344" s="36"/>
    </row>
    <row r="345" spans="1:10" ht="22.15" customHeight="1" x14ac:dyDescent="0.35">
      <c r="A345" s="343" t="s">
        <v>347</v>
      </c>
      <c r="B345" s="344"/>
      <c r="C345" s="344"/>
      <c r="D345" s="344"/>
      <c r="E345" s="345"/>
      <c r="F345" s="282">
        <v>90363.69</v>
      </c>
      <c r="G345" s="37"/>
      <c r="H345" s="282">
        <v>90363.69</v>
      </c>
      <c r="I345" s="36"/>
    </row>
    <row r="346" spans="1:10" ht="22.15" customHeight="1" x14ac:dyDescent="0.35">
      <c r="A346" s="313" t="s">
        <v>493</v>
      </c>
      <c r="B346" s="314"/>
      <c r="C346" s="314"/>
      <c r="D346" s="314"/>
      <c r="E346" s="315"/>
      <c r="F346" s="324">
        <v>155617.1</v>
      </c>
      <c r="G346" s="37"/>
      <c r="H346" s="324">
        <v>0</v>
      </c>
      <c r="I346" s="36"/>
    </row>
    <row r="347" spans="1:10" ht="22.15" customHeight="1" x14ac:dyDescent="0.35">
      <c r="A347" s="313" t="s">
        <v>495</v>
      </c>
      <c r="B347" s="314"/>
      <c r="C347" s="314"/>
      <c r="D347" s="314"/>
      <c r="E347" s="315"/>
      <c r="F347" s="324">
        <v>488526.77</v>
      </c>
      <c r="G347" s="37"/>
      <c r="H347" s="324">
        <v>0</v>
      </c>
      <c r="I347" s="36"/>
    </row>
    <row r="348" spans="1:10" ht="22.15" customHeight="1" x14ac:dyDescent="0.35">
      <c r="A348" s="360" t="s">
        <v>348</v>
      </c>
      <c r="B348" s="361"/>
      <c r="C348" s="361"/>
      <c r="D348" s="361"/>
      <c r="E348" s="362"/>
      <c r="F348" s="303">
        <f>+F280</f>
        <v>5792024.1200000001</v>
      </c>
      <c r="G348" s="62"/>
      <c r="H348" s="303">
        <f>2812226.49-0.13</f>
        <v>2812226.3600000003</v>
      </c>
      <c r="I348" s="36"/>
    </row>
    <row r="349" spans="1:10" ht="22.15" customHeight="1" x14ac:dyDescent="0.35">
      <c r="A349" s="70" t="s">
        <v>150</v>
      </c>
      <c r="B349" s="71"/>
      <c r="C349" s="71"/>
      <c r="D349" s="71"/>
      <c r="E349" s="295"/>
      <c r="F349" s="284">
        <f>SUM(F284:F348)</f>
        <v>26292167.350000009</v>
      </c>
      <c r="G349" s="304"/>
      <c r="H349" s="284">
        <f>SUM(H284:H348)</f>
        <v>16163593.010000002</v>
      </c>
      <c r="I349" s="36"/>
    </row>
    <row r="350" spans="1:10" ht="22.15" customHeight="1" x14ac:dyDescent="0.35">
      <c r="A350" s="36"/>
      <c r="B350" s="36"/>
      <c r="C350" s="36"/>
      <c r="D350" s="36"/>
      <c r="E350" s="36"/>
      <c r="F350" s="302"/>
      <c r="G350" s="37"/>
      <c r="H350" s="37"/>
      <c r="I350" s="36"/>
      <c r="J350" s="82"/>
    </row>
    <row r="351" spans="1:10" ht="22.15" customHeight="1" x14ac:dyDescent="0.35">
      <c r="A351" s="36"/>
      <c r="B351" s="36"/>
      <c r="C351" s="36"/>
      <c r="D351" s="36"/>
      <c r="E351" s="36"/>
      <c r="F351" s="37"/>
      <c r="G351" s="37"/>
      <c r="H351" s="37"/>
      <c r="I351" s="36"/>
      <c r="J351" s="82"/>
    </row>
    <row r="352" spans="1:10" ht="22.15" customHeight="1" x14ac:dyDescent="0.35">
      <c r="A352" s="38" t="s">
        <v>44</v>
      </c>
      <c r="B352" s="38" t="s">
        <v>48</v>
      </c>
      <c r="C352" s="38"/>
      <c r="D352" s="36"/>
      <c r="E352" s="36"/>
      <c r="F352" s="37"/>
      <c r="G352" s="37"/>
      <c r="H352" s="37"/>
      <c r="I352" s="36"/>
      <c r="J352" s="82"/>
    </row>
    <row r="353" spans="1:10" ht="22.15" customHeight="1" x14ac:dyDescent="0.35">
      <c r="A353" s="36"/>
      <c r="B353" s="36"/>
      <c r="C353" s="36"/>
      <c r="D353" s="36"/>
      <c r="E353" s="36"/>
      <c r="F353" s="37"/>
      <c r="G353" s="37"/>
      <c r="H353" s="37"/>
      <c r="I353" s="36"/>
      <c r="J353" s="82"/>
    </row>
    <row r="354" spans="1:10" ht="22.15" customHeight="1" x14ac:dyDescent="0.35">
      <c r="A354" s="63" t="s">
        <v>460</v>
      </c>
      <c r="B354" s="63"/>
      <c r="C354" s="63"/>
      <c r="D354" s="63"/>
      <c r="E354" s="63"/>
      <c r="F354" s="56"/>
      <c r="G354" s="56"/>
      <c r="H354" s="56"/>
      <c r="I354" s="36"/>
      <c r="J354" s="82"/>
    </row>
    <row r="355" spans="1:10" ht="22.15" customHeight="1" x14ac:dyDescent="0.35">
      <c r="A355" s="63" t="s">
        <v>155</v>
      </c>
      <c r="B355" s="63"/>
      <c r="C355" s="63"/>
      <c r="D355" s="36"/>
      <c r="E355" s="36"/>
      <c r="F355" s="37"/>
      <c r="G355" s="37"/>
      <c r="H355" s="37"/>
      <c r="I355" s="36"/>
      <c r="J355" s="82"/>
    </row>
    <row r="356" spans="1:10" ht="22.15" customHeight="1" x14ac:dyDescent="0.35">
      <c r="A356" s="350" t="s">
        <v>4</v>
      </c>
      <c r="B356" s="351"/>
      <c r="C356" s="351"/>
      <c r="D356" s="351"/>
      <c r="E356" s="352"/>
      <c r="F356" s="152">
        <v>2026</v>
      </c>
      <c r="G356" s="41"/>
      <c r="H356" s="152">
        <v>2025</v>
      </c>
      <c r="I356" s="36"/>
      <c r="J356" s="82"/>
    </row>
    <row r="357" spans="1:10" ht="22.15" customHeight="1" x14ac:dyDescent="0.35">
      <c r="A357" s="264" t="s">
        <v>476</v>
      </c>
      <c r="B357" s="265"/>
      <c r="C357" s="265"/>
      <c r="D357" s="259"/>
      <c r="E357" s="260"/>
      <c r="F357" s="42">
        <v>1790000</v>
      </c>
      <c r="G357" s="41"/>
      <c r="H357" s="319">
        <v>0</v>
      </c>
      <c r="I357" s="36"/>
      <c r="J357" s="82"/>
    </row>
    <row r="358" spans="1:10" ht="22.15" customHeight="1" x14ac:dyDescent="0.35">
      <c r="A358" s="264" t="s">
        <v>49</v>
      </c>
      <c r="B358" s="259"/>
      <c r="C358" s="259"/>
      <c r="D358" s="259"/>
      <c r="E358" s="260"/>
      <c r="F358" s="42">
        <v>384796.31</v>
      </c>
      <c r="G358" s="43"/>
      <c r="H358" s="42">
        <v>80990.44</v>
      </c>
      <c r="I358" s="36"/>
      <c r="J358" s="82"/>
    </row>
    <row r="359" spans="1:10" ht="22.15" customHeight="1" x14ac:dyDescent="0.35">
      <c r="A359" s="264" t="s">
        <v>50</v>
      </c>
      <c r="B359" s="259"/>
      <c r="C359" s="259"/>
      <c r="D359" s="259"/>
      <c r="E359" s="260"/>
      <c r="F359" s="42">
        <v>445281.34</v>
      </c>
      <c r="G359" s="43"/>
      <c r="H359" s="42">
        <v>292829.65999999997</v>
      </c>
      <c r="I359" s="51"/>
    </row>
    <row r="360" spans="1:10" ht="22.15" hidden="1" customHeight="1" x14ac:dyDescent="0.35">
      <c r="A360" s="264" t="s">
        <v>183</v>
      </c>
      <c r="B360" s="259"/>
      <c r="C360" s="259"/>
      <c r="D360" s="259"/>
      <c r="E360" s="260"/>
      <c r="F360" s="42"/>
      <c r="G360" s="43"/>
      <c r="H360" s="42"/>
      <c r="I360" s="36"/>
    </row>
    <row r="361" spans="1:10" ht="22.15" hidden="1" customHeight="1" x14ac:dyDescent="0.35">
      <c r="A361" s="264" t="s">
        <v>163</v>
      </c>
      <c r="B361" s="259"/>
      <c r="C361" s="259"/>
      <c r="D361" s="259"/>
      <c r="E361" s="260"/>
      <c r="F361" s="42"/>
      <c r="G361" s="43"/>
      <c r="H361" s="42"/>
      <c r="I361" s="36"/>
    </row>
    <row r="362" spans="1:10" ht="22.15" customHeight="1" x14ac:dyDescent="0.35">
      <c r="A362" s="264" t="s">
        <v>477</v>
      </c>
      <c r="B362" s="259"/>
      <c r="C362" s="259"/>
      <c r="D362" s="259"/>
      <c r="E362" s="260"/>
      <c r="F362" s="42">
        <v>35531.24</v>
      </c>
      <c r="G362" s="43"/>
      <c r="H362" s="42">
        <v>0</v>
      </c>
      <c r="I362" s="36"/>
    </row>
    <row r="363" spans="1:10" ht="22.15" customHeight="1" x14ac:dyDescent="0.35">
      <c r="A363" s="258" t="s">
        <v>51</v>
      </c>
      <c r="B363" s="259"/>
      <c r="C363" s="259"/>
      <c r="D363" s="259"/>
      <c r="E363" s="260"/>
      <c r="F363" s="40">
        <f>SUM(F357:F362)</f>
        <v>2655608.89</v>
      </c>
      <c r="G363" s="41"/>
      <c r="H363" s="40">
        <f>SUM(H357:H362)</f>
        <v>373820.1</v>
      </c>
      <c r="I363" s="36"/>
    </row>
    <row r="364" spans="1:10" ht="22.15" customHeight="1" x14ac:dyDescent="0.35">
      <c r="A364" s="36"/>
      <c r="B364" s="36"/>
      <c r="C364" s="36"/>
      <c r="D364" s="36"/>
      <c r="E364" s="36"/>
      <c r="F364" s="37"/>
      <c r="G364" s="37"/>
      <c r="H364" s="37"/>
      <c r="I364" s="36"/>
    </row>
    <row r="365" spans="1:10" ht="22.15" customHeight="1" x14ac:dyDescent="0.35">
      <c r="A365" s="36"/>
      <c r="B365" s="36"/>
      <c r="C365" s="36"/>
      <c r="D365" s="36"/>
      <c r="E365" s="36"/>
      <c r="F365" s="37"/>
      <c r="G365" s="37"/>
      <c r="H365" s="37"/>
      <c r="I365" s="36"/>
      <c r="J365" s="82"/>
    </row>
    <row r="366" spans="1:10" ht="22.15" customHeight="1" x14ac:dyDescent="0.35">
      <c r="A366" s="38" t="s">
        <v>316</v>
      </c>
      <c r="B366" s="36"/>
      <c r="C366" s="36"/>
      <c r="D366" s="36"/>
      <c r="E366" s="36"/>
      <c r="F366" s="37"/>
      <c r="G366" s="37"/>
      <c r="H366" s="37"/>
      <c r="I366" s="36"/>
      <c r="J366" s="82"/>
    </row>
    <row r="367" spans="1:10" ht="22.15" customHeight="1" x14ac:dyDescent="0.35">
      <c r="A367" s="356"/>
      <c r="B367" s="356"/>
      <c r="C367" s="356"/>
      <c r="D367" s="356"/>
      <c r="E367" s="356"/>
      <c r="F367" s="356"/>
      <c r="G367" s="356"/>
      <c r="H367" s="356"/>
      <c r="I367" s="36"/>
      <c r="J367" s="82"/>
    </row>
    <row r="368" spans="1:10" ht="22.15" customHeight="1" x14ac:dyDescent="0.35">
      <c r="A368" s="36" t="s">
        <v>460</v>
      </c>
      <c r="B368" s="36"/>
      <c r="C368" s="36"/>
      <c r="D368" s="36"/>
      <c r="E368" s="36"/>
      <c r="F368" s="37"/>
      <c r="G368" s="37"/>
      <c r="H368" s="37"/>
      <c r="I368" s="51"/>
    </row>
    <row r="369" spans="1:10" ht="22.15" customHeight="1" x14ac:dyDescent="0.35">
      <c r="A369" s="36" t="s">
        <v>155</v>
      </c>
      <c r="B369" s="39"/>
      <c r="C369" s="39"/>
      <c r="D369" s="66"/>
      <c r="E369" s="36"/>
      <c r="F369" s="37"/>
      <c r="G369" s="37"/>
      <c r="H369" s="37"/>
      <c r="I369" s="36"/>
    </row>
    <row r="370" spans="1:10" ht="22.15" customHeight="1" x14ac:dyDescent="0.35">
      <c r="A370" s="350" t="s">
        <v>4</v>
      </c>
      <c r="B370" s="351"/>
      <c r="C370" s="351"/>
      <c r="D370" s="351"/>
      <c r="E370" s="352"/>
      <c r="F370" s="152">
        <v>2026</v>
      </c>
      <c r="G370" s="41"/>
      <c r="H370" s="152">
        <v>2025</v>
      </c>
      <c r="I370" s="36"/>
    </row>
    <row r="371" spans="1:10" ht="22.15" customHeight="1" x14ac:dyDescent="0.35">
      <c r="A371" s="264" t="s">
        <v>331</v>
      </c>
      <c r="B371" s="265"/>
      <c r="C371" s="265"/>
      <c r="D371" s="265"/>
      <c r="E371" s="266"/>
      <c r="F371" s="42">
        <v>4670678.91</v>
      </c>
      <c r="G371" s="43"/>
      <c r="H371" s="42">
        <v>4154236.76</v>
      </c>
      <c r="I371" s="36"/>
    </row>
    <row r="372" spans="1:10" ht="22.15" customHeight="1" x14ac:dyDescent="0.35">
      <c r="A372" s="264" t="s">
        <v>332</v>
      </c>
      <c r="B372" s="265"/>
      <c r="C372" s="265"/>
      <c r="D372" s="265"/>
      <c r="E372" s="266"/>
      <c r="F372" s="42">
        <v>4670678.91</v>
      </c>
      <c r="G372" s="43"/>
      <c r="H372" s="42">
        <v>4154236.76</v>
      </c>
      <c r="I372" s="36"/>
    </row>
    <row r="373" spans="1:10" ht="22.15" hidden="1" customHeight="1" x14ac:dyDescent="0.35">
      <c r="A373" s="264" t="s">
        <v>52</v>
      </c>
      <c r="B373" s="259"/>
      <c r="C373" s="259"/>
      <c r="D373" s="259"/>
      <c r="E373" s="260"/>
      <c r="F373" s="42"/>
      <c r="G373" s="43"/>
      <c r="H373" s="42"/>
      <c r="I373" s="36"/>
    </row>
    <row r="374" spans="1:10" ht="22.15" customHeight="1" x14ac:dyDescent="0.35">
      <c r="A374" s="264" t="s">
        <v>53</v>
      </c>
      <c r="B374" s="259"/>
      <c r="C374" s="259"/>
      <c r="D374" s="259"/>
      <c r="E374" s="260"/>
      <c r="F374" s="42">
        <v>7444696.7800000003</v>
      </c>
      <c r="G374" s="43"/>
      <c r="H374" s="42">
        <v>6977623.9000000004</v>
      </c>
      <c r="I374" s="36"/>
    </row>
    <row r="375" spans="1:10" ht="22.15" customHeight="1" x14ac:dyDescent="0.35">
      <c r="A375" s="264" t="s">
        <v>333</v>
      </c>
      <c r="B375" s="259"/>
      <c r="C375" s="259"/>
      <c r="D375" s="259"/>
      <c r="E375" s="260"/>
      <c r="F375" s="42">
        <v>719281.67</v>
      </c>
      <c r="G375" s="43"/>
      <c r="H375" s="42">
        <v>700966.67</v>
      </c>
      <c r="I375" s="36"/>
    </row>
    <row r="376" spans="1:10" ht="22.15" customHeight="1" x14ac:dyDescent="0.35">
      <c r="A376" s="264" t="s">
        <v>370</v>
      </c>
      <c r="B376" s="259"/>
      <c r="C376" s="259"/>
      <c r="D376" s="259"/>
      <c r="E376" s="260"/>
      <c r="F376" s="42">
        <v>5806222.8799999999</v>
      </c>
      <c r="G376" s="43"/>
      <c r="H376" s="42">
        <v>4874825.5599999996</v>
      </c>
      <c r="I376" s="36"/>
    </row>
    <row r="377" spans="1:10" ht="22.15" customHeight="1" x14ac:dyDescent="0.35">
      <c r="A377" s="258" t="s">
        <v>54</v>
      </c>
      <c r="B377" s="259"/>
      <c r="C377" s="259"/>
      <c r="D377" s="259"/>
      <c r="E377" s="260"/>
      <c r="F377" s="40">
        <f>SUM(F371:F376)</f>
        <v>23311559.150000002</v>
      </c>
      <c r="G377" s="41"/>
      <c r="H377" s="40">
        <f>SUM(H371:H376)</f>
        <v>20861889.649999999</v>
      </c>
      <c r="I377" s="36"/>
    </row>
    <row r="378" spans="1:10" ht="22.15" customHeight="1" x14ac:dyDescent="0.35">
      <c r="A378" s="55"/>
      <c r="B378" s="55"/>
      <c r="C378" s="55"/>
      <c r="D378" s="55"/>
      <c r="E378" s="55"/>
      <c r="F378" s="64"/>
      <c r="G378" s="41"/>
      <c r="H378" s="64"/>
      <c r="I378" s="36"/>
    </row>
    <row r="379" spans="1:10" ht="22.15" customHeight="1" x14ac:dyDescent="0.35">
      <c r="A379" s="55"/>
      <c r="B379" s="55"/>
      <c r="C379" s="55"/>
      <c r="D379" s="55"/>
      <c r="E379" s="55"/>
      <c r="F379" s="64"/>
      <c r="G379" s="41"/>
      <c r="H379" s="64"/>
      <c r="I379" s="36"/>
    </row>
    <row r="380" spans="1:10" ht="22.15" customHeight="1" x14ac:dyDescent="0.35">
      <c r="A380" s="55"/>
      <c r="B380" s="55"/>
      <c r="C380" s="55"/>
      <c r="D380" s="55"/>
      <c r="E380" s="55"/>
      <c r="F380" s="64"/>
      <c r="G380" s="41"/>
      <c r="H380" s="64"/>
      <c r="I380" s="36"/>
    </row>
    <row r="381" spans="1:10" ht="22.15" customHeight="1" x14ac:dyDescent="0.35">
      <c r="A381" s="55"/>
      <c r="B381" s="55"/>
      <c r="C381" s="55"/>
      <c r="D381" s="55"/>
      <c r="E381" s="55"/>
      <c r="F381" s="64"/>
      <c r="G381" s="41"/>
      <c r="H381" s="64"/>
      <c r="I381" s="36"/>
    </row>
    <row r="382" spans="1:10" ht="22.15" customHeight="1" x14ac:dyDescent="0.35">
      <c r="A382" s="55"/>
      <c r="B382" s="55"/>
      <c r="C382" s="55"/>
      <c r="D382" s="55"/>
      <c r="E382" s="55"/>
      <c r="F382" s="64"/>
      <c r="G382" s="41"/>
      <c r="H382" s="64"/>
      <c r="I382" s="36"/>
    </row>
    <row r="383" spans="1:10" ht="22.15" customHeight="1" x14ac:dyDescent="0.35">
      <c r="A383" s="38" t="s">
        <v>315</v>
      </c>
      <c r="B383" s="53" t="s">
        <v>357</v>
      </c>
      <c r="C383" s="53"/>
      <c r="D383" s="53"/>
      <c r="E383" s="55"/>
      <c r="F383" s="64"/>
      <c r="G383" s="41"/>
      <c r="H383" s="64"/>
      <c r="I383" s="36"/>
      <c r="J383" s="82"/>
    </row>
    <row r="384" spans="1:10" ht="22.15" customHeight="1" x14ac:dyDescent="0.35">
      <c r="A384" s="36"/>
      <c r="B384" s="39"/>
      <c r="C384" s="39"/>
      <c r="D384" s="39"/>
      <c r="E384" s="36"/>
      <c r="F384" s="37"/>
      <c r="G384" s="37"/>
      <c r="H384" s="37"/>
      <c r="I384" s="36"/>
      <c r="J384" s="82"/>
    </row>
    <row r="385" spans="1:10" ht="22.15" customHeight="1" x14ac:dyDescent="0.35">
      <c r="A385" s="34" t="s">
        <v>330</v>
      </c>
      <c r="J385" s="82"/>
    </row>
    <row r="386" spans="1:10" ht="22.15" customHeight="1" x14ac:dyDescent="0.35">
      <c r="A386" s="34" t="s">
        <v>522</v>
      </c>
      <c r="I386" s="195"/>
    </row>
    <row r="387" spans="1:10" ht="22.15" customHeight="1" x14ac:dyDescent="0.35">
      <c r="I387" s="195"/>
    </row>
    <row r="388" spans="1:10" ht="22.15" customHeight="1" x14ac:dyDescent="0.35">
      <c r="A388" s="353" t="s">
        <v>4</v>
      </c>
      <c r="B388" s="354"/>
      <c r="C388" s="354"/>
      <c r="D388" s="354"/>
      <c r="E388" s="355"/>
      <c r="F388" s="183">
        <v>2026</v>
      </c>
      <c r="G388" s="196"/>
      <c r="H388" s="183">
        <v>2025</v>
      </c>
    </row>
    <row r="389" spans="1:10" ht="22.15" customHeight="1" x14ac:dyDescent="0.35">
      <c r="A389" s="76" t="s">
        <v>310</v>
      </c>
      <c r="B389" s="76"/>
      <c r="C389" s="77"/>
      <c r="D389" s="77"/>
      <c r="E389" s="78"/>
      <c r="F389" s="79">
        <v>4228461.3</v>
      </c>
      <c r="G389" s="80"/>
      <c r="H389" s="79">
        <v>6471146.4299999997</v>
      </c>
    </row>
    <row r="390" spans="1:10" ht="22.15" customHeight="1" x14ac:dyDescent="0.35">
      <c r="A390" s="197" t="s">
        <v>358</v>
      </c>
      <c r="B390" s="198"/>
      <c r="C390" s="198"/>
      <c r="D390" s="198"/>
      <c r="E390" s="199"/>
      <c r="F390" s="74">
        <f>+F389</f>
        <v>4228461.3</v>
      </c>
      <c r="G390" s="196"/>
      <c r="H390" s="74">
        <f>SUM(H389:H389)</f>
        <v>6471146.4299999997</v>
      </c>
    </row>
    <row r="391" spans="1:10" ht="22.15" customHeight="1" x14ac:dyDescent="0.35">
      <c r="B391" s="200"/>
      <c r="C391" s="200"/>
      <c r="D391" s="200"/>
      <c r="E391" s="200"/>
      <c r="F391" s="73"/>
      <c r="G391" s="201"/>
      <c r="H391" s="202"/>
    </row>
    <row r="392" spans="1:10" ht="22.15" customHeight="1" x14ac:dyDescent="0.35">
      <c r="A392" s="36"/>
      <c r="B392" s="39"/>
      <c r="C392" s="39"/>
      <c r="D392" s="39"/>
      <c r="E392" s="39"/>
      <c r="F392" s="50"/>
      <c r="G392" s="50"/>
      <c r="H392" s="37"/>
      <c r="I392" s="36"/>
    </row>
    <row r="393" spans="1:10" ht="22.15" customHeight="1" x14ac:dyDescent="0.35">
      <c r="A393" s="36"/>
      <c r="B393" s="39"/>
      <c r="C393" s="39"/>
      <c r="D393" s="39"/>
      <c r="E393" s="39"/>
      <c r="F393" s="50"/>
      <c r="G393" s="50"/>
      <c r="H393" s="37"/>
      <c r="I393" s="36"/>
    </row>
    <row r="394" spans="1:10" ht="22.15" customHeight="1" x14ac:dyDescent="0.35">
      <c r="A394" s="36"/>
      <c r="B394" s="39"/>
      <c r="C394" s="39"/>
      <c r="D394" s="39"/>
      <c r="E394" s="39"/>
      <c r="F394" s="50"/>
      <c r="G394" s="50"/>
      <c r="H394" s="37"/>
      <c r="I394" s="36"/>
    </row>
    <row r="395" spans="1:10" ht="22.15" customHeight="1" x14ac:dyDescent="0.35">
      <c r="A395" s="36"/>
      <c r="B395" s="39"/>
      <c r="C395" s="39"/>
      <c r="D395" s="39"/>
      <c r="E395" s="39"/>
      <c r="F395" s="50"/>
      <c r="G395" s="50"/>
      <c r="H395" s="37"/>
      <c r="I395" s="36"/>
    </row>
    <row r="396" spans="1:10" ht="22.15" customHeight="1" x14ac:dyDescent="0.35">
      <c r="A396" s="36"/>
      <c r="B396" s="39"/>
      <c r="C396" s="39"/>
      <c r="D396" s="39"/>
      <c r="E396" s="39"/>
      <c r="F396" s="50"/>
      <c r="G396" s="50"/>
      <c r="H396" s="37"/>
      <c r="I396" s="36"/>
      <c r="J396" s="82"/>
    </row>
    <row r="397" spans="1:10" ht="22.15" customHeight="1" x14ac:dyDescent="0.35">
      <c r="A397" s="38" t="s">
        <v>314</v>
      </c>
      <c r="B397" s="39"/>
      <c r="C397" s="39"/>
      <c r="D397" s="39"/>
      <c r="E397" s="36"/>
      <c r="F397" s="37"/>
      <c r="G397" s="37"/>
      <c r="H397" s="37"/>
      <c r="I397" s="36"/>
      <c r="J397" s="82"/>
    </row>
    <row r="398" spans="1:10" ht="22.15" customHeight="1" x14ac:dyDescent="0.35">
      <c r="A398" s="36"/>
      <c r="B398" s="39"/>
      <c r="C398" s="39"/>
      <c r="D398" s="39"/>
      <c r="E398" s="39"/>
      <c r="F398" s="50"/>
      <c r="G398" s="50"/>
      <c r="H398" s="37"/>
      <c r="I398" s="36"/>
    </row>
    <row r="399" spans="1:10" ht="22.15" customHeight="1" x14ac:dyDescent="0.35">
      <c r="A399" s="36" t="s">
        <v>461</v>
      </c>
      <c r="B399" s="39"/>
      <c r="C399" s="39"/>
      <c r="D399" s="39"/>
      <c r="E399" s="39"/>
      <c r="F399" s="50"/>
      <c r="G399" s="50"/>
      <c r="H399" s="37"/>
      <c r="I399" s="36"/>
    </row>
    <row r="400" spans="1:10" ht="22.15" customHeight="1" x14ac:dyDescent="0.35">
      <c r="A400" s="36" t="s">
        <v>155</v>
      </c>
      <c r="B400" s="36"/>
      <c r="C400" s="36"/>
      <c r="D400" s="36"/>
      <c r="E400" s="36"/>
      <c r="F400" s="37"/>
      <c r="G400" s="37"/>
      <c r="H400" s="37"/>
      <c r="I400" s="36"/>
    </row>
    <row r="401" spans="1:10" ht="22.15" customHeight="1" x14ac:dyDescent="0.35">
      <c r="A401" s="350" t="s">
        <v>4</v>
      </c>
      <c r="B401" s="351"/>
      <c r="C401" s="351"/>
      <c r="D401" s="351"/>
      <c r="E401" s="352"/>
      <c r="F401" s="152">
        <v>2026</v>
      </c>
      <c r="G401" s="41"/>
      <c r="H401" s="152">
        <v>2025</v>
      </c>
      <c r="I401" s="36"/>
    </row>
    <row r="402" spans="1:10" ht="22.15" customHeight="1" x14ac:dyDescent="0.35">
      <c r="A402" s="67" t="s">
        <v>359</v>
      </c>
      <c r="B402" s="68"/>
      <c r="C402" s="68"/>
      <c r="D402" s="68"/>
      <c r="E402" s="69"/>
      <c r="F402" s="42">
        <v>4049462.42</v>
      </c>
      <c r="G402" s="43"/>
      <c r="H402" s="42">
        <v>10499512.310000001</v>
      </c>
      <c r="I402" s="36"/>
    </row>
    <row r="403" spans="1:10" ht="22.15" customHeight="1" x14ac:dyDescent="0.35">
      <c r="A403" s="70" t="s">
        <v>151</v>
      </c>
      <c r="B403" s="71"/>
      <c r="C403" s="71"/>
      <c r="D403" s="71"/>
      <c r="E403" s="72"/>
      <c r="F403" s="40">
        <f>+F402</f>
        <v>4049462.42</v>
      </c>
      <c r="G403" s="41"/>
      <c r="H403" s="40">
        <f>SUM(H402)</f>
        <v>10499512.310000001</v>
      </c>
      <c r="I403" s="36"/>
    </row>
    <row r="404" spans="1:10" ht="22.15" customHeight="1" x14ac:dyDescent="0.35">
      <c r="A404" s="36"/>
      <c r="B404" s="36"/>
      <c r="C404" s="36"/>
      <c r="D404" s="36"/>
      <c r="E404" s="36"/>
      <c r="F404" s="37"/>
      <c r="G404" s="37"/>
      <c r="H404" s="37"/>
      <c r="I404" s="36"/>
    </row>
    <row r="405" spans="1:10" ht="22.15" customHeight="1" x14ac:dyDescent="0.35">
      <c r="A405" s="93"/>
      <c r="B405" s="93"/>
      <c r="C405" s="93"/>
      <c r="D405" s="93"/>
      <c r="E405" s="93"/>
      <c r="F405" s="93"/>
      <c r="G405" s="93"/>
      <c r="H405" s="93"/>
      <c r="I405" s="36"/>
    </row>
    <row r="406" spans="1:10" ht="22.15" customHeight="1" x14ac:dyDescent="0.35">
      <c r="A406" s="93"/>
      <c r="B406" s="93"/>
      <c r="C406" s="93"/>
      <c r="D406" s="93"/>
      <c r="E406" s="93"/>
      <c r="F406" s="93"/>
      <c r="G406" s="93"/>
      <c r="H406" s="93"/>
      <c r="I406" s="36"/>
    </row>
    <row r="407" spans="1:10" ht="22.15" customHeight="1" x14ac:dyDescent="0.35">
      <c r="A407" s="93"/>
      <c r="B407" s="93"/>
      <c r="C407" s="93"/>
      <c r="D407" s="93"/>
      <c r="E407" s="93"/>
      <c r="F407" s="93"/>
      <c r="G407" s="93"/>
      <c r="H407" s="93"/>
      <c r="I407" s="36"/>
    </row>
    <row r="408" spans="1:10" ht="22.15" customHeight="1" x14ac:dyDescent="0.35">
      <c r="A408" s="93"/>
      <c r="B408" s="93"/>
      <c r="C408" s="93"/>
      <c r="D408" s="93"/>
      <c r="E408" s="93"/>
      <c r="F408" s="93"/>
      <c r="G408" s="93"/>
      <c r="H408" s="93"/>
      <c r="I408" s="36"/>
    </row>
    <row r="409" spans="1:10" ht="22.15" customHeight="1" x14ac:dyDescent="0.35">
      <c r="A409" s="38" t="s">
        <v>55</v>
      </c>
      <c r="B409" s="38" t="s">
        <v>57</v>
      </c>
      <c r="C409" s="38"/>
      <c r="D409" s="38"/>
      <c r="E409" s="36"/>
      <c r="F409" s="37"/>
      <c r="G409" s="37"/>
      <c r="H409" s="37"/>
      <c r="I409" s="36"/>
      <c r="J409" s="82"/>
    </row>
    <row r="410" spans="1:10" ht="22.15" customHeight="1" x14ac:dyDescent="0.35">
      <c r="A410" s="38"/>
      <c r="B410" s="38"/>
      <c r="C410" s="38"/>
      <c r="D410" s="38"/>
      <c r="E410" s="36"/>
      <c r="F410" s="37"/>
      <c r="G410" s="37"/>
      <c r="H410" s="37"/>
      <c r="I410" s="36"/>
      <c r="J410" s="82"/>
    </row>
    <row r="411" spans="1:10" ht="22.15" customHeight="1" x14ac:dyDescent="0.35">
      <c r="A411" s="36" t="s">
        <v>462</v>
      </c>
      <c r="B411" s="39"/>
      <c r="C411" s="39"/>
      <c r="D411" s="36"/>
      <c r="E411" s="36"/>
      <c r="F411" s="37"/>
      <c r="G411" s="37"/>
      <c r="H411" s="37"/>
      <c r="I411" s="36"/>
      <c r="J411" s="82"/>
    </row>
    <row r="412" spans="1:10" ht="22.15" customHeight="1" x14ac:dyDescent="0.35">
      <c r="A412" s="36"/>
      <c r="B412" s="39"/>
      <c r="C412" s="39"/>
      <c r="D412" s="36"/>
      <c r="E412" s="36"/>
      <c r="F412" s="37"/>
      <c r="G412" s="37"/>
      <c r="H412" s="37"/>
      <c r="I412" s="36"/>
      <c r="J412" s="82"/>
    </row>
    <row r="413" spans="1:10" ht="22.15" customHeight="1" x14ac:dyDescent="0.35">
      <c r="A413" s="36"/>
      <c r="B413" s="36"/>
      <c r="C413" s="36"/>
      <c r="D413" s="36"/>
      <c r="E413" s="63"/>
      <c r="F413" s="56"/>
      <c r="G413" s="56"/>
      <c r="H413" s="56"/>
      <c r="I413" s="36"/>
      <c r="J413" s="82"/>
    </row>
    <row r="414" spans="1:10" ht="22.15" customHeight="1" x14ac:dyDescent="0.35">
      <c r="A414" s="350" t="s">
        <v>4</v>
      </c>
      <c r="B414" s="351"/>
      <c r="C414" s="351"/>
      <c r="D414" s="351"/>
      <c r="E414" s="352"/>
      <c r="F414" s="152">
        <v>2026</v>
      </c>
      <c r="G414" s="41"/>
      <c r="H414" s="152">
        <v>2025</v>
      </c>
      <c r="I414" s="36"/>
      <c r="J414" s="82"/>
    </row>
    <row r="415" spans="1:10" ht="22.15" customHeight="1" x14ac:dyDescent="0.35">
      <c r="A415" s="67" t="s">
        <v>58</v>
      </c>
      <c r="B415" s="68"/>
      <c r="C415" s="68"/>
      <c r="D415" s="68"/>
      <c r="E415" s="69"/>
      <c r="F415" s="42">
        <v>46598840.5</v>
      </c>
      <c r="G415" s="43"/>
      <c r="H415" s="42">
        <v>46598840.5</v>
      </c>
      <c r="I415" s="36"/>
      <c r="J415" s="82"/>
    </row>
    <row r="416" spans="1:10" ht="22.15" customHeight="1" x14ac:dyDescent="0.35">
      <c r="A416" s="264" t="s">
        <v>59</v>
      </c>
      <c r="B416" s="259"/>
      <c r="C416" s="259"/>
      <c r="D416" s="259"/>
      <c r="E416" s="260"/>
      <c r="F416" s="42">
        <v>-6944358.0599999996</v>
      </c>
      <c r="G416" s="43"/>
      <c r="H416" s="42">
        <v>-17400947.41</v>
      </c>
      <c r="I416" s="36"/>
      <c r="J416" s="82"/>
    </row>
    <row r="417" spans="1:20" ht="22.15" customHeight="1" x14ac:dyDescent="0.35">
      <c r="A417" s="67" t="s">
        <v>60</v>
      </c>
      <c r="B417" s="68"/>
      <c r="C417" s="68"/>
      <c r="D417" s="68"/>
      <c r="E417" s="69"/>
      <c r="F417" s="42">
        <v>40778558.289999999</v>
      </c>
      <c r="G417" s="41"/>
      <c r="H417" s="42">
        <f>94457549.14-3548165.65-1156155.48</f>
        <v>89753228.00999999</v>
      </c>
      <c r="I417" s="36"/>
      <c r="J417" s="82"/>
    </row>
    <row r="418" spans="1:20" ht="22.15" customHeight="1" x14ac:dyDescent="0.35">
      <c r="A418" s="70" t="s">
        <v>61</v>
      </c>
      <c r="B418" s="71"/>
      <c r="C418" s="71"/>
      <c r="D418" s="71"/>
      <c r="E418" s="72"/>
      <c r="F418" s="40">
        <f>SUM(F415:F417)</f>
        <v>80433040.729999989</v>
      </c>
      <c r="G418" s="41"/>
      <c r="H418" s="40">
        <f>SUM(H415:H417)</f>
        <v>118951121.09999999</v>
      </c>
      <c r="I418" s="95"/>
      <c r="J418" s="95"/>
      <c r="K418" s="95"/>
      <c r="T418" s="195"/>
    </row>
    <row r="419" spans="1:20" ht="22.15" customHeight="1" x14ac:dyDescent="0.35">
      <c r="A419" s="38"/>
      <c r="B419" s="38"/>
      <c r="C419" s="38"/>
      <c r="D419" s="38"/>
      <c r="E419" s="38"/>
      <c r="F419" s="64"/>
      <c r="G419" s="41"/>
      <c r="H419" s="64"/>
      <c r="I419" s="36"/>
      <c r="T419" s="35"/>
    </row>
    <row r="420" spans="1:20" ht="22.15" customHeight="1" x14ac:dyDescent="0.35">
      <c r="A420" s="38"/>
      <c r="B420" s="38"/>
      <c r="C420" s="38"/>
      <c r="D420" s="38"/>
      <c r="E420" s="38"/>
      <c r="F420" s="64"/>
      <c r="G420" s="41"/>
      <c r="H420" s="64"/>
      <c r="I420" s="36"/>
      <c r="T420" s="195"/>
    </row>
    <row r="421" spans="1:20" ht="22.15" customHeight="1" x14ac:dyDescent="0.35">
      <c r="A421" s="38"/>
      <c r="B421" s="38"/>
      <c r="C421" s="38"/>
      <c r="D421" s="38"/>
      <c r="E421" s="38"/>
      <c r="F421" s="64"/>
      <c r="G421" s="41"/>
      <c r="H421" s="64" t="s">
        <v>5</v>
      </c>
      <c r="I421" s="36"/>
      <c r="T421" s="35"/>
    </row>
    <row r="422" spans="1:20" ht="22.15" customHeight="1" x14ac:dyDescent="0.35">
      <c r="A422" s="38"/>
      <c r="B422" s="38"/>
      <c r="C422" s="38"/>
      <c r="D422" s="38"/>
      <c r="E422" s="62"/>
      <c r="F422" s="64"/>
      <c r="G422" s="41"/>
      <c r="H422" s="64"/>
      <c r="I422" s="36"/>
      <c r="J422" s="82"/>
      <c r="T422" s="195"/>
    </row>
    <row r="423" spans="1:20" ht="22.15" customHeight="1" x14ac:dyDescent="0.35">
      <c r="A423" s="38" t="s">
        <v>56</v>
      </c>
      <c r="B423" s="53" t="s">
        <v>283</v>
      </c>
      <c r="C423" s="53"/>
      <c r="D423" s="53"/>
      <c r="E423" s="95"/>
      <c r="F423" s="95"/>
      <c r="G423" s="95"/>
      <c r="H423" s="95"/>
      <c r="I423" s="36"/>
      <c r="J423" s="82"/>
    </row>
    <row r="424" spans="1:20" ht="22.15" customHeight="1" x14ac:dyDescent="0.35">
      <c r="A424" s="36"/>
      <c r="B424" s="39"/>
      <c r="C424" s="39"/>
      <c r="D424" s="36"/>
      <c r="E424" s="36"/>
      <c r="F424" s="37"/>
      <c r="G424" s="37"/>
      <c r="H424" s="37"/>
      <c r="I424" s="36"/>
      <c r="J424" s="82"/>
    </row>
    <row r="425" spans="1:20" ht="22.15" customHeight="1" x14ac:dyDescent="0.35">
      <c r="A425" s="36"/>
      <c r="B425" s="39"/>
      <c r="C425" s="39"/>
      <c r="D425" s="36"/>
      <c r="E425" s="36"/>
      <c r="F425" s="37"/>
      <c r="G425" s="37"/>
      <c r="H425" s="37"/>
      <c r="I425" s="36"/>
      <c r="J425" s="82"/>
    </row>
    <row r="426" spans="1:20" ht="22.15" customHeight="1" x14ac:dyDescent="0.35">
      <c r="A426" s="36" t="s">
        <v>463</v>
      </c>
      <c r="B426" s="39"/>
      <c r="C426" s="39"/>
      <c r="D426" s="36"/>
      <c r="E426" s="36"/>
      <c r="F426" s="37"/>
      <c r="G426" s="37"/>
      <c r="H426" s="37"/>
      <c r="I426" s="36"/>
      <c r="J426" s="82"/>
    </row>
    <row r="427" spans="1:20" ht="22.15" customHeight="1" x14ac:dyDescent="0.35">
      <c r="A427" s="36" t="s">
        <v>464</v>
      </c>
      <c r="B427" s="38"/>
      <c r="C427" s="38"/>
      <c r="D427" s="38"/>
      <c r="E427" s="38"/>
      <c r="F427" s="64"/>
      <c r="G427" s="41"/>
      <c r="H427" s="64"/>
      <c r="I427" s="36"/>
      <c r="J427" s="82"/>
    </row>
    <row r="428" spans="1:20" ht="22.15" customHeight="1" x14ac:dyDescent="0.35">
      <c r="A428" s="36"/>
      <c r="B428" s="38"/>
      <c r="C428" s="38"/>
      <c r="D428" s="38"/>
      <c r="E428" s="38"/>
      <c r="F428" s="64"/>
      <c r="G428" s="41"/>
      <c r="H428" s="64"/>
      <c r="I428" s="36"/>
      <c r="J428" s="82"/>
    </row>
    <row r="429" spans="1:20" ht="22.15" customHeight="1" x14ac:dyDescent="0.35">
      <c r="A429" s="350" t="s">
        <v>4</v>
      </c>
      <c r="B429" s="351"/>
      <c r="C429" s="351"/>
      <c r="D429" s="351"/>
      <c r="E429" s="352"/>
      <c r="F429" s="152">
        <v>2026</v>
      </c>
      <c r="G429" s="41"/>
      <c r="H429" s="152">
        <v>2025</v>
      </c>
      <c r="I429" s="36"/>
      <c r="J429" s="82"/>
    </row>
    <row r="430" spans="1:20" ht="22.15" customHeight="1" x14ac:dyDescent="0.35">
      <c r="A430" s="67" t="s">
        <v>62</v>
      </c>
      <c r="B430" s="68"/>
      <c r="C430" s="68"/>
      <c r="D430" s="68"/>
      <c r="E430" s="69"/>
      <c r="F430" s="42">
        <f>137352132.52-35853312</f>
        <v>101498820.52000001</v>
      </c>
      <c r="G430" s="43"/>
      <c r="H430" s="42">
        <f>118612155.53-35989314</f>
        <v>82622841.530000001</v>
      </c>
      <c r="I430" s="36"/>
      <c r="J430" s="82"/>
    </row>
    <row r="431" spans="1:20" ht="22.15" customHeight="1" x14ac:dyDescent="0.35">
      <c r="A431" s="70" t="s">
        <v>285</v>
      </c>
      <c r="B431" s="71"/>
      <c r="C431" s="71"/>
      <c r="D431" s="71"/>
      <c r="E431" s="72"/>
      <c r="F431" s="74">
        <f>SUM(F430)</f>
        <v>101498820.52000001</v>
      </c>
      <c r="G431" s="41"/>
      <c r="H431" s="74">
        <f>SUM(H430)</f>
        <v>82622841.530000001</v>
      </c>
      <c r="I431" s="36"/>
      <c r="J431" s="82"/>
    </row>
    <row r="432" spans="1:20" ht="22.15" customHeight="1" x14ac:dyDescent="0.35">
      <c r="A432" s="38"/>
      <c r="B432" s="38"/>
      <c r="C432" s="38"/>
      <c r="D432" s="38"/>
      <c r="E432" s="38"/>
      <c r="F432" s="64"/>
      <c r="G432" s="41"/>
      <c r="H432" s="64"/>
      <c r="I432" s="36"/>
      <c r="J432" s="82"/>
    </row>
    <row r="433" spans="1:21" ht="22.15" customHeight="1" x14ac:dyDescent="0.35">
      <c r="A433" s="38"/>
      <c r="B433" s="38"/>
      <c r="C433" s="38"/>
      <c r="D433" s="38"/>
      <c r="E433" s="38"/>
      <c r="F433" s="64"/>
      <c r="G433" s="41"/>
      <c r="H433" s="64"/>
      <c r="I433" s="36"/>
      <c r="J433" s="82"/>
    </row>
    <row r="434" spans="1:21" ht="22.15" customHeight="1" x14ac:dyDescent="0.35">
      <c r="A434" s="38"/>
      <c r="B434" s="38"/>
      <c r="C434" s="38"/>
      <c r="D434" s="38"/>
      <c r="E434" s="38"/>
      <c r="F434" s="64"/>
      <c r="G434" s="41"/>
      <c r="H434" s="64"/>
      <c r="I434" s="36"/>
      <c r="J434" s="82"/>
    </row>
    <row r="435" spans="1:21" ht="22.15" customHeight="1" x14ac:dyDescent="0.35">
      <c r="A435" s="38"/>
      <c r="B435" s="38"/>
      <c r="C435" s="38"/>
      <c r="D435" s="38"/>
      <c r="E435" s="38"/>
      <c r="F435" s="64"/>
      <c r="G435" s="41"/>
      <c r="H435" s="64"/>
      <c r="I435" s="36"/>
      <c r="J435" s="82"/>
    </row>
    <row r="436" spans="1:21" ht="22.15" customHeight="1" x14ac:dyDescent="0.35">
      <c r="A436" s="38" t="s">
        <v>313</v>
      </c>
      <c r="B436" s="38" t="s">
        <v>63</v>
      </c>
      <c r="C436" s="38"/>
      <c r="D436" s="38"/>
      <c r="E436" s="38"/>
      <c r="F436" s="64"/>
      <c r="G436" s="41"/>
      <c r="H436" s="64"/>
      <c r="I436" s="36"/>
      <c r="J436" s="82"/>
    </row>
    <row r="437" spans="1:21" ht="22.15" customHeight="1" x14ac:dyDescent="0.35">
      <c r="A437" s="38"/>
      <c r="B437" s="38"/>
      <c r="C437" s="38"/>
      <c r="D437" s="38"/>
      <c r="E437" s="38"/>
      <c r="F437" s="64"/>
      <c r="G437" s="41"/>
      <c r="H437" s="64"/>
      <c r="I437" s="36"/>
      <c r="J437" s="82"/>
    </row>
    <row r="438" spans="1:21" ht="22.15" customHeight="1" x14ac:dyDescent="0.35">
      <c r="A438" s="38"/>
      <c r="B438" s="38"/>
      <c r="C438" s="38"/>
      <c r="D438" s="38"/>
      <c r="E438" s="38"/>
      <c r="F438" s="64"/>
      <c r="G438" s="41"/>
      <c r="H438" s="64"/>
      <c r="I438" s="36"/>
      <c r="J438" s="82"/>
    </row>
    <row r="439" spans="1:21" ht="22.15" customHeight="1" x14ac:dyDescent="0.35">
      <c r="A439" s="36" t="s">
        <v>284</v>
      </c>
      <c r="B439" s="36"/>
      <c r="C439" s="36"/>
      <c r="D439" s="36"/>
      <c r="E439" s="36"/>
      <c r="F439" s="75"/>
      <c r="G439" s="43"/>
      <c r="H439" s="75"/>
      <c r="I439" s="36"/>
      <c r="J439" s="82"/>
    </row>
    <row r="440" spans="1:21" ht="22.15" customHeight="1" x14ac:dyDescent="0.35">
      <c r="A440" s="36" t="s">
        <v>465</v>
      </c>
      <c r="B440" s="38"/>
      <c r="C440" s="38"/>
      <c r="D440" s="38"/>
      <c r="E440" s="38"/>
      <c r="F440" s="64"/>
      <c r="G440" s="41"/>
      <c r="H440" s="64"/>
      <c r="I440" s="36"/>
      <c r="J440" s="82"/>
    </row>
    <row r="441" spans="1:21" ht="22.15" customHeight="1" x14ac:dyDescent="0.35">
      <c r="A441" s="38"/>
      <c r="B441" s="38"/>
      <c r="C441" s="38"/>
      <c r="D441" s="38"/>
      <c r="E441" s="38"/>
      <c r="F441" s="64"/>
      <c r="G441" s="41"/>
      <c r="H441" s="64"/>
      <c r="I441" s="36"/>
      <c r="J441" s="82"/>
    </row>
    <row r="442" spans="1:21" ht="22.15" customHeight="1" x14ac:dyDescent="0.35">
      <c r="A442" s="350" t="s">
        <v>4</v>
      </c>
      <c r="B442" s="351"/>
      <c r="C442" s="351"/>
      <c r="D442" s="351"/>
      <c r="E442" s="352"/>
      <c r="F442" s="152">
        <v>2026</v>
      </c>
      <c r="G442" s="41"/>
      <c r="H442" s="152">
        <v>2025</v>
      </c>
      <c r="I442" s="36"/>
      <c r="J442" s="82"/>
    </row>
    <row r="443" spans="1:21" ht="22.15" customHeight="1" x14ac:dyDescent="0.35">
      <c r="A443" s="67" t="s">
        <v>259</v>
      </c>
      <c r="B443" s="68"/>
      <c r="C443" s="68"/>
      <c r="D443" s="68"/>
      <c r="E443" s="69"/>
      <c r="F443" s="42">
        <v>33603312</v>
      </c>
      <c r="G443" s="43"/>
      <c r="H443" s="42">
        <v>33739314</v>
      </c>
      <c r="I443" s="36"/>
      <c r="J443" s="82"/>
    </row>
    <row r="444" spans="1:21" ht="22.15" customHeight="1" x14ac:dyDescent="0.35">
      <c r="A444" s="67" t="s">
        <v>361</v>
      </c>
      <c r="B444" s="68"/>
      <c r="C444" s="68"/>
      <c r="D444" s="68"/>
      <c r="E444" s="69"/>
      <c r="F444" s="42">
        <v>2250000</v>
      </c>
      <c r="G444" s="43"/>
      <c r="H444" s="42">
        <v>2250000</v>
      </c>
      <c r="I444" s="36"/>
    </row>
    <row r="445" spans="1:21" ht="22.15" customHeight="1" x14ac:dyDescent="0.35">
      <c r="A445" s="70" t="s">
        <v>64</v>
      </c>
      <c r="B445" s="71"/>
      <c r="C445" s="71"/>
      <c r="D445" s="71"/>
      <c r="E445" s="72"/>
      <c r="F445" s="40">
        <f>SUM(F443:F444)</f>
        <v>35853312</v>
      </c>
      <c r="G445" s="41"/>
      <c r="H445" s="40">
        <f>SUM(H443:H444)</f>
        <v>35989314</v>
      </c>
      <c r="I445" s="36"/>
    </row>
    <row r="446" spans="1:21" ht="22.15" customHeight="1" x14ac:dyDescent="0.35">
      <c r="A446" s="36"/>
      <c r="B446" s="36"/>
      <c r="C446" s="36"/>
      <c r="D446" s="36"/>
      <c r="E446" s="36"/>
      <c r="F446" s="37"/>
      <c r="G446" s="37"/>
      <c r="H446" s="37"/>
      <c r="I446" s="36"/>
    </row>
    <row r="447" spans="1:21" ht="22.15" customHeight="1" x14ac:dyDescent="0.35">
      <c r="A447" s="36"/>
      <c r="B447" s="39"/>
      <c r="C447" s="39"/>
      <c r="D447" s="39"/>
      <c r="E447" s="36"/>
      <c r="I447" s="36"/>
      <c r="J447" s="37">
        <f>+F445+F431</f>
        <v>137352132.52000001</v>
      </c>
      <c r="K447" s="37">
        <f>+G445+G431</f>
        <v>0</v>
      </c>
      <c r="L447" s="37">
        <f>+H445+H431</f>
        <v>118612155.53</v>
      </c>
      <c r="T447" s="195">
        <f>+F445+F431</f>
        <v>137352132.52000001</v>
      </c>
      <c r="U447" s="195">
        <f>+H445+H431</f>
        <v>118612155.53</v>
      </c>
    </row>
    <row r="448" spans="1:21" ht="22.15" customHeight="1" x14ac:dyDescent="0.35">
      <c r="A448" s="36"/>
      <c r="B448" s="39"/>
      <c r="C448" s="39"/>
      <c r="D448" s="39"/>
      <c r="E448" s="90"/>
      <c r="F448" s="37"/>
      <c r="G448" s="37"/>
      <c r="H448" s="37"/>
      <c r="I448" s="36"/>
    </row>
    <row r="449" spans="1:21" ht="22.15" customHeight="1" x14ac:dyDescent="0.35">
      <c r="A449" s="36"/>
      <c r="B449" s="39"/>
      <c r="C449" s="39"/>
      <c r="D449" s="39"/>
      <c r="E449" s="90"/>
      <c r="F449" s="37"/>
      <c r="G449" s="37"/>
      <c r="H449" s="37"/>
      <c r="I449" s="36"/>
    </row>
    <row r="450" spans="1:21" ht="22.15" customHeight="1" x14ac:dyDescent="0.35">
      <c r="A450" s="38"/>
      <c r="B450" s="38"/>
      <c r="C450" s="38"/>
      <c r="D450" s="38"/>
      <c r="E450" s="36"/>
      <c r="F450" s="37"/>
      <c r="G450" s="37"/>
      <c r="H450" s="37"/>
      <c r="I450" s="36"/>
    </row>
    <row r="451" spans="1:21" ht="22.15" customHeight="1" x14ac:dyDescent="0.35">
      <c r="A451" s="92" t="s">
        <v>176</v>
      </c>
      <c r="B451" s="38"/>
      <c r="C451" s="38"/>
      <c r="D451" s="38"/>
      <c r="E451" s="36"/>
      <c r="F451" s="37"/>
      <c r="G451" s="37"/>
      <c r="H451" s="37"/>
    </row>
    <row r="452" spans="1:21" ht="22.15" customHeight="1" x14ac:dyDescent="0.35">
      <c r="A452" s="38"/>
      <c r="B452" s="38"/>
      <c r="C452" s="38"/>
      <c r="D452" s="38"/>
      <c r="E452" s="36"/>
      <c r="F452" s="37"/>
      <c r="G452" s="37"/>
      <c r="H452" s="37"/>
      <c r="I452" s="36"/>
    </row>
    <row r="453" spans="1:21" ht="22.15" customHeight="1" x14ac:dyDescent="0.35">
      <c r="A453" s="38"/>
      <c r="B453" s="38"/>
      <c r="C453" s="38"/>
      <c r="D453" s="38"/>
      <c r="E453" s="36"/>
      <c r="F453" s="37"/>
      <c r="G453" s="37"/>
      <c r="H453" s="37"/>
      <c r="I453" s="36"/>
    </row>
    <row r="454" spans="1:21" ht="22.15" customHeight="1" x14ac:dyDescent="0.35">
      <c r="A454" s="38" t="s">
        <v>312</v>
      </c>
      <c r="B454" s="38"/>
      <c r="C454" s="38"/>
      <c r="D454" s="38"/>
      <c r="E454" s="36"/>
      <c r="F454" s="37"/>
      <c r="G454" s="37"/>
      <c r="H454" s="37"/>
      <c r="I454" s="36"/>
      <c r="J454" s="82"/>
    </row>
    <row r="455" spans="1:21" ht="22.15" customHeight="1" x14ac:dyDescent="0.35">
      <c r="A455" s="38"/>
      <c r="B455" s="38"/>
      <c r="C455" s="38"/>
      <c r="D455" s="38"/>
      <c r="E455" s="36"/>
      <c r="F455" s="37"/>
      <c r="G455" s="37"/>
      <c r="H455" s="37"/>
      <c r="I455" s="36"/>
      <c r="J455" s="82"/>
    </row>
    <row r="456" spans="1:21" ht="22.15" customHeight="1" x14ac:dyDescent="0.35">
      <c r="A456" s="34" t="s">
        <v>466</v>
      </c>
      <c r="J456" s="82"/>
    </row>
    <row r="457" spans="1:21" ht="22.15" customHeight="1" x14ac:dyDescent="0.35">
      <c r="A457" s="36" t="s">
        <v>155</v>
      </c>
      <c r="B457" s="36"/>
      <c r="C457" s="36"/>
      <c r="D457" s="36"/>
      <c r="E457" s="36"/>
      <c r="F457" s="37"/>
      <c r="G457" s="37"/>
      <c r="H457" s="37"/>
      <c r="I457" s="36"/>
      <c r="J457" s="82"/>
    </row>
    <row r="458" spans="1:21" ht="22.15" customHeight="1" x14ac:dyDescent="0.35">
      <c r="A458" s="36"/>
      <c r="B458" s="36"/>
      <c r="C458" s="36"/>
      <c r="D458" s="36"/>
      <c r="E458" s="36"/>
      <c r="F458" s="37"/>
      <c r="G458" s="37"/>
      <c r="H458" s="37"/>
      <c r="I458" s="36"/>
      <c r="J458" s="82"/>
    </row>
    <row r="459" spans="1:21" ht="22.15" customHeight="1" x14ac:dyDescent="0.35">
      <c r="A459" s="350" t="s">
        <v>4</v>
      </c>
      <c r="B459" s="351"/>
      <c r="C459" s="351"/>
      <c r="D459" s="351"/>
      <c r="E459" s="352"/>
      <c r="F459" s="290">
        <v>2026</v>
      </c>
      <c r="G459" s="41"/>
      <c r="H459" s="290">
        <v>2025</v>
      </c>
      <c r="I459" s="36"/>
      <c r="J459" s="82"/>
    </row>
    <row r="460" spans="1:21" ht="22.15" customHeight="1" x14ac:dyDescent="0.35">
      <c r="A460" s="270" t="s">
        <v>65</v>
      </c>
      <c r="B460" s="271"/>
      <c r="C460" s="271"/>
      <c r="D460" s="271"/>
      <c r="E460" s="272"/>
      <c r="F460" s="79">
        <v>43638280</v>
      </c>
      <c r="G460" s="43"/>
      <c r="H460" s="79">
        <v>43867745.670000002</v>
      </c>
      <c r="I460" s="36"/>
      <c r="J460" s="82"/>
    </row>
    <row r="461" spans="1:21" ht="22.15" customHeight="1" x14ac:dyDescent="0.35">
      <c r="A461" s="76" t="s">
        <v>381</v>
      </c>
      <c r="B461" s="77"/>
      <c r="C461" s="77"/>
      <c r="D461" s="77"/>
      <c r="E461" s="78"/>
      <c r="F461" s="79">
        <v>3595490</v>
      </c>
      <c r="G461" s="80"/>
      <c r="H461" s="79">
        <v>3391452.17</v>
      </c>
      <c r="I461" s="36"/>
      <c r="J461" s="82"/>
      <c r="Q461" s="195">
        <f>+H461</f>
        <v>3391452.17</v>
      </c>
      <c r="S461" s="195">
        <f>+H461+H462+H463</f>
        <v>7293135.7800000003</v>
      </c>
    </row>
    <row r="462" spans="1:21" ht="22.15" customHeight="1" x14ac:dyDescent="0.35">
      <c r="A462" s="76" t="s">
        <v>382</v>
      </c>
      <c r="B462" s="77"/>
      <c r="C462" s="77"/>
      <c r="D462" s="77"/>
      <c r="E462" s="78"/>
      <c r="F462" s="79">
        <v>3620558.97</v>
      </c>
      <c r="G462" s="80"/>
      <c r="H462" s="79">
        <v>3463163.21</v>
      </c>
      <c r="I462" s="36"/>
      <c r="J462" s="82"/>
      <c r="Q462" s="35">
        <f>+H462</f>
        <v>3463163.21</v>
      </c>
      <c r="U462" s="35"/>
    </row>
    <row r="463" spans="1:21" ht="22.15" customHeight="1" x14ac:dyDescent="0.35">
      <c r="A463" s="76" t="s">
        <v>383</v>
      </c>
      <c r="B463" s="77"/>
      <c r="C463" s="77"/>
      <c r="D463" s="77"/>
      <c r="E463" s="78"/>
      <c r="F463" s="79">
        <v>501881.49</v>
      </c>
      <c r="G463" s="80"/>
      <c r="H463" s="79">
        <v>438520.4</v>
      </c>
      <c r="I463" s="36"/>
      <c r="J463" s="82"/>
      <c r="Q463" s="35">
        <f>+H463</f>
        <v>438520.4</v>
      </c>
      <c r="S463" s="35">
        <f>SUM(F461:F463)</f>
        <v>7717930.4600000009</v>
      </c>
      <c r="T463" s="35">
        <f>SUM(F461:F463)</f>
        <v>7717930.4600000009</v>
      </c>
    </row>
    <row r="464" spans="1:21" ht="22.15" customHeight="1" x14ac:dyDescent="0.35">
      <c r="A464" s="264" t="s">
        <v>66</v>
      </c>
      <c r="B464" s="265"/>
      <c r="C464" s="265"/>
      <c r="D464" s="265"/>
      <c r="E464" s="266"/>
      <c r="F464" s="79">
        <f>7552333.34+155000</f>
        <v>7707333.3399999999</v>
      </c>
      <c r="G464" s="43"/>
      <c r="H464" s="79">
        <v>4892000</v>
      </c>
      <c r="I464" s="36"/>
      <c r="J464" s="82"/>
      <c r="Q464" s="195">
        <f>SUM(Q461:Q463)</f>
        <v>7293135.7800000003</v>
      </c>
    </row>
    <row r="465" spans="1:20" ht="22.15" customHeight="1" x14ac:dyDescent="0.35">
      <c r="A465" s="67" t="s">
        <v>67</v>
      </c>
      <c r="B465" s="68"/>
      <c r="C465" s="68"/>
      <c r="D465" s="68"/>
      <c r="E465" s="69"/>
      <c r="F465" s="79">
        <v>5182687.82</v>
      </c>
      <c r="G465" s="43"/>
      <c r="H465" s="79">
        <v>4463490.53</v>
      </c>
      <c r="I465" s="36"/>
      <c r="J465" s="82"/>
    </row>
    <row r="466" spans="1:20" ht="22.15" customHeight="1" x14ac:dyDescent="0.35">
      <c r="A466" s="67" t="s">
        <v>478</v>
      </c>
      <c r="B466" s="68"/>
      <c r="C466" s="68"/>
      <c r="D466" s="68"/>
      <c r="E466" s="69"/>
      <c r="F466" s="79">
        <v>102600</v>
      </c>
      <c r="G466" s="43"/>
      <c r="H466" s="79">
        <v>0</v>
      </c>
      <c r="I466" s="36"/>
      <c r="J466" s="82"/>
    </row>
    <row r="467" spans="1:20" ht="22.15" customHeight="1" x14ac:dyDescent="0.35">
      <c r="A467" s="264" t="s">
        <v>68</v>
      </c>
      <c r="B467" s="265"/>
      <c r="C467" s="265"/>
      <c r="D467" s="265"/>
      <c r="E467" s="266"/>
      <c r="F467" s="79">
        <v>397739.41</v>
      </c>
      <c r="G467" s="43"/>
      <c r="H467" s="79">
        <v>608621.89</v>
      </c>
      <c r="I467" s="36"/>
      <c r="J467" s="82"/>
      <c r="S467" s="35"/>
    </row>
    <row r="468" spans="1:20" ht="22.15" customHeight="1" x14ac:dyDescent="0.35">
      <c r="A468" s="76" t="s">
        <v>69</v>
      </c>
      <c r="B468" s="77"/>
      <c r="C468" s="77"/>
      <c r="D468" s="77"/>
      <c r="E468" s="69"/>
      <c r="F468" s="79">
        <f>470000+2350000</f>
        <v>2820000</v>
      </c>
      <c r="G468" s="43"/>
      <c r="H468" s="79">
        <v>2900000</v>
      </c>
      <c r="I468" s="36"/>
      <c r="J468" s="82"/>
      <c r="Q468" s="35">
        <f>SUM(H460:H481)</f>
        <v>90013590.169999987</v>
      </c>
    </row>
    <row r="469" spans="1:20" ht="22.15" customHeight="1" x14ac:dyDescent="0.35">
      <c r="A469" s="159" t="s">
        <v>70</v>
      </c>
      <c r="B469" s="160"/>
      <c r="C469" s="160"/>
      <c r="D469" s="160"/>
      <c r="E469" s="69"/>
      <c r="F469" s="79">
        <v>1290528</v>
      </c>
      <c r="G469" s="43"/>
      <c r="H469" s="79">
        <v>1309360</v>
      </c>
      <c r="I469" s="36"/>
      <c r="J469" s="82"/>
    </row>
    <row r="470" spans="1:20" ht="22.15" customHeight="1" x14ac:dyDescent="0.35">
      <c r="A470" s="159" t="s">
        <v>260</v>
      </c>
      <c r="B470" s="160"/>
      <c r="C470" s="160"/>
      <c r="D470" s="160"/>
      <c r="E470" s="69"/>
      <c r="F470" s="79">
        <v>109188.84</v>
      </c>
      <c r="G470" s="43"/>
      <c r="H470" s="79">
        <v>196640</v>
      </c>
      <c r="I470" s="36"/>
      <c r="J470" s="82"/>
    </row>
    <row r="471" spans="1:20" ht="22.15" customHeight="1" x14ac:dyDescent="0.35">
      <c r="A471" s="264" t="s">
        <v>71</v>
      </c>
      <c r="B471" s="265"/>
      <c r="C471" s="265"/>
      <c r="D471" s="265"/>
      <c r="E471" s="266"/>
      <c r="F471" s="79">
        <v>219130.13</v>
      </c>
      <c r="G471" s="43"/>
      <c r="H471" s="79">
        <v>212350.75</v>
      </c>
      <c r="I471" s="36"/>
      <c r="J471" s="82"/>
      <c r="Q471" s="35">
        <f>SUM(F460:F481)</f>
        <v>97524392.700000003</v>
      </c>
    </row>
    <row r="472" spans="1:20" ht="22.15" customHeight="1" x14ac:dyDescent="0.35">
      <c r="A472" s="67" t="s">
        <v>72</v>
      </c>
      <c r="B472" s="68"/>
      <c r="C472" s="68"/>
      <c r="D472" s="68"/>
      <c r="E472" s="69"/>
      <c r="F472" s="79">
        <v>4387595.1100000003</v>
      </c>
      <c r="G472" s="43"/>
      <c r="H472" s="79">
        <v>4173858.91</v>
      </c>
      <c r="I472" s="36"/>
      <c r="J472" s="82"/>
    </row>
    <row r="473" spans="1:20" ht="22.15" customHeight="1" x14ac:dyDescent="0.35">
      <c r="A473" s="264" t="s">
        <v>73</v>
      </c>
      <c r="B473" s="265"/>
      <c r="C473" s="265"/>
      <c r="D473" s="265"/>
      <c r="E473" s="266"/>
      <c r="F473" s="79">
        <v>4387595.1100000003</v>
      </c>
      <c r="G473" s="43"/>
      <c r="H473" s="79">
        <v>4173858.91</v>
      </c>
      <c r="I473" s="36"/>
      <c r="J473" s="82"/>
    </row>
    <row r="474" spans="1:20" ht="22.15" customHeight="1" x14ac:dyDescent="0.35">
      <c r="A474" s="264" t="s">
        <v>185</v>
      </c>
      <c r="B474" s="265"/>
      <c r="C474" s="265"/>
      <c r="D474" s="265"/>
      <c r="E474" s="266"/>
      <c r="F474" s="79">
        <v>200000</v>
      </c>
      <c r="G474" s="43"/>
      <c r="H474" s="79">
        <v>95000</v>
      </c>
      <c r="I474" s="36"/>
    </row>
    <row r="475" spans="1:20" ht="22.15" customHeight="1" x14ac:dyDescent="0.35">
      <c r="A475" s="67" t="s">
        <v>74</v>
      </c>
      <c r="B475" s="68"/>
      <c r="C475" s="68"/>
      <c r="D475" s="68"/>
      <c r="E475" s="69"/>
      <c r="F475" s="79">
        <v>4387595.1100000003</v>
      </c>
      <c r="G475" s="43"/>
      <c r="H475" s="79">
        <v>4173858.89</v>
      </c>
      <c r="I475" s="36"/>
    </row>
    <row r="476" spans="1:20" ht="22.15" customHeight="1" x14ac:dyDescent="0.35">
      <c r="A476" s="264" t="s">
        <v>152</v>
      </c>
      <c r="B476" s="265"/>
      <c r="C476" s="265"/>
      <c r="D476" s="265"/>
      <c r="E476" s="266"/>
      <c r="F476" s="79">
        <v>1057452.7</v>
      </c>
      <c r="G476" s="43"/>
      <c r="H476" s="79">
        <v>39686.199999999997</v>
      </c>
      <c r="I476" s="36"/>
      <c r="J476" s="82"/>
    </row>
    <row r="477" spans="1:20" ht="22.15" customHeight="1" x14ac:dyDescent="0.35">
      <c r="A477" s="264" t="s">
        <v>75</v>
      </c>
      <c r="B477" s="265"/>
      <c r="C477" s="265"/>
      <c r="D477" s="265"/>
      <c r="E477" s="266"/>
      <c r="F477" s="79">
        <v>4123323.4</v>
      </c>
      <c r="G477" s="43"/>
      <c r="H477" s="79">
        <v>2597201.6</v>
      </c>
      <c r="I477" s="36"/>
      <c r="J477" s="82"/>
    </row>
    <row r="478" spans="1:20" ht="22.15" hidden="1" customHeight="1" x14ac:dyDescent="0.35">
      <c r="A478" s="67" t="s">
        <v>76</v>
      </c>
      <c r="B478" s="68"/>
      <c r="C478" s="68"/>
      <c r="D478" s="68"/>
      <c r="E478" s="69"/>
      <c r="F478" s="79"/>
      <c r="G478" s="43"/>
      <c r="H478" s="79"/>
      <c r="I478" s="36"/>
    </row>
    <row r="479" spans="1:20" ht="22.15" customHeight="1" x14ac:dyDescent="0.35">
      <c r="A479" s="67" t="s">
        <v>208</v>
      </c>
      <c r="B479" s="68"/>
      <c r="C479" s="68"/>
      <c r="D479" s="68"/>
      <c r="E479" s="69"/>
      <c r="F479" s="79">
        <v>4374678.4400000004</v>
      </c>
      <c r="G479" s="43"/>
      <c r="H479" s="79">
        <v>4173858.89</v>
      </c>
      <c r="I479" s="36"/>
      <c r="T479" s="195">
        <f>+F477+F479+F480+F475</f>
        <v>17777481.780000001</v>
      </c>
    </row>
    <row r="480" spans="1:20" ht="22.15" customHeight="1" x14ac:dyDescent="0.35">
      <c r="A480" s="67" t="s">
        <v>333</v>
      </c>
      <c r="B480" s="68"/>
      <c r="C480" s="68"/>
      <c r="D480" s="68"/>
      <c r="E480" s="69"/>
      <c r="F480" s="79">
        <v>4891884.83</v>
      </c>
      <c r="G480" s="43"/>
      <c r="H480" s="79">
        <v>4305612.68</v>
      </c>
      <c r="I480" s="36"/>
    </row>
    <row r="481" spans="1:10" ht="22.15" customHeight="1" x14ac:dyDescent="0.35">
      <c r="A481" s="67" t="s">
        <v>360</v>
      </c>
      <c r="B481" s="68"/>
      <c r="C481" s="68"/>
      <c r="D481" s="68"/>
      <c r="E481" s="69"/>
      <c r="F481" s="79">
        <f>85000+443850</f>
        <v>528850</v>
      </c>
      <c r="G481" s="43"/>
      <c r="H481" s="79">
        <f>477309.47+60000</f>
        <v>537309.47</v>
      </c>
      <c r="I481" s="36"/>
    </row>
    <row r="482" spans="1:10" ht="22.15" customHeight="1" x14ac:dyDescent="0.35">
      <c r="A482" s="258" t="s">
        <v>77</v>
      </c>
      <c r="B482" s="265"/>
      <c r="C482" s="265"/>
      <c r="D482" s="265"/>
      <c r="E482" s="69"/>
      <c r="F482" s="74">
        <f>SUM(F460:F481)</f>
        <v>97524392.700000003</v>
      </c>
      <c r="G482" s="296"/>
      <c r="H482" s="74">
        <f>SUM(H460:H481)</f>
        <v>90013590.169999987</v>
      </c>
      <c r="I482" s="36"/>
    </row>
    <row r="483" spans="1:10" ht="22.15" customHeight="1" x14ac:dyDescent="0.35">
      <c r="E483" s="63"/>
      <c r="F483" s="64"/>
      <c r="G483" s="43"/>
      <c r="H483" s="64"/>
      <c r="I483" s="36"/>
    </row>
    <row r="484" spans="1:10" ht="22.15" customHeight="1" x14ac:dyDescent="0.35">
      <c r="A484" s="36"/>
      <c r="B484" s="36"/>
      <c r="C484" s="36"/>
      <c r="D484" s="36"/>
      <c r="E484" s="36"/>
      <c r="F484" s="37"/>
      <c r="G484" s="37"/>
      <c r="H484" s="37"/>
      <c r="I484" s="36"/>
    </row>
    <row r="485" spans="1:10" ht="22.15" customHeight="1" x14ac:dyDescent="0.35">
      <c r="A485" s="36"/>
      <c r="B485" s="36"/>
      <c r="C485" s="36"/>
      <c r="D485" s="36"/>
      <c r="E485" s="36"/>
      <c r="F485" s="37"/>
      <c r="G485" s="37"/>
      <c r="H485" s="37"/>
      <c r="I485" s="36"/>
    </row>
    <row r="486" spans="1:10" ht="22.15" customHeight="1" x14ac:dyDescent="0.35">
      <c r="A486" s="36" t="s">
        <v>78</v>
      </c>
      <c r="B486" s="36"/>
      <c r="C486" s="36"/>
      <c r="D486" s="36"/>
      <c r="E486" s="36"/>
      <c r="F486" s="37"/>
      <c r="G486" s="37"/>
      <c r="H486" s="37"/>
      <c r="I486" s="36"/>
    </row>
    <row r="487" spans="1:10" ht="22.15" customHeight="1" x14ac:dyDescent="0.35">
      <c r="A487" s="36" t="s">
        <v>156</v>
      </c>
      <c r="B487" s="36"/>
      <c r="C487" s="36"/>
      <c r="D487" s="36"/>
      <c r="E487" s="36"/>
      <c r="F487" s="37"/>
      <c r="G487" s="37"/>
      <c r="H487" s="37"/>
      <c r="I487" s="36"/>
    </row>
    <row r="488" spans="1:10" ht="22.15" customHeight="1" x14ac:dyDescent="0.35">
      <c r="A488" s="36"/>
      <c r="B488" s="36"/>
      <c r="C488" s="36"/>
      <c r="D488" s="36"/>
      <c r="E488" s="36"/>
      <c r="F488" s="37"/>
      <c r="G488" s="37"/>
      <c r="H488" s="37"/>
      <c r="I488" s="36"/>
    </row>
    <row r="489" spans="1:10" ht="22.15" customHeight="1" x14ac:dyDescent="0.35">
      <c r="A489" s="36" t="s">
        <v>467</v>
      </c>
      <c r="B489" s="36"/>
      <c r="C489" s="36"/>
      <c r="D489" s="36"/>
      <c r="E489" s="36"/>
      <c r="F489" s="37"/>
      <c r="G489" s="37"/>
      <c r="H489" s="37"/>
      <c r="I489" s="36"/>
    </row>
    <row r="490" spans="1:10" ht="22.15" customHeight="1" x14ac:dyDescent="0.35">
      <c r="A490" s="34" t="s">
        <v>468</v>
      </c>
      <c r="B490" s="91"/>
      <c r="C490" s="91"/>
      <c r="D490" s="91"/>
      <c r="F490" s="37"/>
      <c r="G490" s="37"/>
      <c r="H490" s="37"/>
      <c r="I490" s="36"/>
    </row>
    <row r="491" spans="1:10" ht="22.15" customHeight="1" x14ac:dyDescent="0.35">
      <c r="B491" s="91"/>
      <c r="C491" s="91"/>
      <c r="D491" s="91"/>
      <c r="E491" s="36"/>
      <c r="F491" s="37"/>
      <c r="G491" s="37"/>
      <c r="H491" s="37"/>
      <c r="I491" s="36"/>
    </row>
    <row r="492" spans="1:10" ht="22.15" customHeight="1" x14ac:dyDescent="0.35">
      <c r="A492" s="36"/>
      <c r="B492" s="36"/>
      <c r="C492" s="36"/>
      <c r="D492" s="36"/>
      <c r="E492" s="36"/>
      <c r="F492" s="37"/>
      <c r="G492" s="37"/>
      <c r="H492" s="37"/>
      <c r="I492" s="36"/>
    </row>
    <row r="493" spans="1:10" ht="22.15" customHeight="1" x14ac:dyDescent="0.35">
      <c r="A493" s="38" t="s">
        <v>311</v>
      </c>
      <c r="B493" s="38" t="s">
        <v>177</v>
      </c>
      <c r="C493" s="38"/>
      <c r="D493" s="38"/>
      <c r="E493" s="36"/>
      <c r="F493" s="37"/>
      <c r="G493" s="37"/>
      <c r="H493" s="37"/>
      <c r="I493" s="36"/>
      <c r="J493" s="82"/>
    </row>
    <row r="494" spans="1:10" ht="22.15" customHeight="1" x14ac:dyDescent="0.35">
      <c r="A494" s="38"/>
      <c r="B494" s="38"/>
      <c r="C494" s="38"/>
      <c r="D494" s="38"/>
      <c r="E494" s="36"/>
      <c r="F494" s="37"/>
      <c r="G494" s="37"/>
      <c r="H494" s="37"/>
      <c r="I494" s="36"/>
      <c r="J494" s="82"/>
    </row>
    <row r="495" spans="1:10" ht="22.15" customHeight="1" x14ac:dyDescent="0.35">
      <c r="A495" s="38"/>
      <c r="B495" s="38"/>
      <c r="C495" s="38"/>
      <c r="D495" s="38"/>
      <c r="E495" s="36"/>
      <c r="F495" s="37"/>
      <c r="G495" s="37"/>
      <c r="H495" s="37"/>
      <c r="I495" s="36"/>
      <c r="J495" s="82"/>
    </row>
    <row r="496" spans="1:10" ht="22.15" customHeight="1" x14ac:dyDescent="0.35">
      <c r="A496" s="36" t="s">
        <v>469</v>
      </c>
      <c r="B496" s="36"/>
      <c r="C496" s="36"/>
      <c r="D496" s="36"/>
      <c r="E496" s="36"/>
      <c r="F496" s="37"/>
      <c r="G496" s="37"/>
      <c r="H496" s="37"/>
      <c r="I496" s="36"/>
      <c r="J496" s="82"/>
    </row>
    <row r="497" spans="1:10" ht="22.15" customHeight="1" x14ac:dyDescent="0.35">
      <c r="A497" s="36" t="s">
        <v>457</v>
      </c>
      <c r="B497" s="36"/>
      <c r="C497" s="36"/>
      <c r="D497" s="36"/>
      <c r="E497" s="36"/>
      <c r="F497" s="37"/>
      <c r="G497" s="37"/>
      <c r="H497" s="37"/>
      <c r="I497" s="36"/>
      <c r="J497" s="82"/>
    </row>
    <row r="498" spans="1:10" ht="22.15" customHeight="1" x14ac:dyDescent="0.35">
      <c r="A498" s="38"/>
      <c r="B498" s="36"/>
      <c r="C498" s="36"/>
      <c r="D498" s="36"/>
      <c r="E498" s="36"/>
      <c r="F498" s="37"/>
      <c r="G498" s="37"/>
      <c r="H498" s="37"/>
      <c r="I498" s="36"/>
      <c r="J498" s="82"/>
    </row>
    <row r="499" spans="1:10" ht="22.15" customHeight="1" x14ac:dyDescent="0.35">
      <c r="A499" s="350" t="s">
        <v>4</v>
      </c>
      <c r="B499" s="351"/>
      <c r="C499" s="351"/>
      <c r="D499" s="351"/>
      <c r="E499" s="352"/>
      <c r="F499" s="152">
        <v>2026</v>
      </c>
      <c r="G499" s="41"/>
      <c r="H499" s="152">
        <v>2025</v>
      </c>
      <c r="I499" s="36"/>
      <c r="J499" s="82"/>
    </row>
    <row r="500" spans="1:10" ht="22.15" customHeight="1" x14ac:dyDescent="0.35">
      <c r="A500" s="264" t="s">
        <v>171</v>
      </c>
      <c r="B500" s="265"/>
      <c r="C500" s="265"/>
      <c r="D500" s="265"/>
      <c r="E500" s="266"/>
      <c r="F500" s="42">
        <v>305789.86</v>
      </c>
      <c r="G500" s="43"/>
      <c r="H500" s="42">
        <v>134129.20000000001</v>
      </c>
      <c r="I500" s="36"/>
    </row>
    <row r="501" spans="1:10" ht="22.15" customHeight="1" x14ac:dyDescent="0.35">
      <c r="A501" s="264" t="s">
        <v>79</v>
      </c>
      <c r="B501" s="265"/>
      <c r="C501" s="265"/>
      <c r="D501" s="265"/>
      <c r="E501" s="266"/>
      <c r="F501" s="42">
        <v>3913967.5</v>
      </c>
      <c r="G501" s="43"/>
      <c r="H501" s="42">
        <v>5419540.7999999998</v>
      </c>
      <c r="I501" s="36"/>
    </row>
    <row r="502" spans="1:10" ht="22.15" customHeight="1" x14ac:dyDescent="0.35">
      <c r="A502" s="264" t="s">
        <v>262</v>
      </c>
      <c r="B502" s="265"/>
      <c r="C502" s="265"/>
      <c r="D502" s="265"/>
      <c r="E502" s="266"/>
      <c r="F502" s="42">
        <v>2422950.3199999998</v>
      </c>
      <c r="G502" s="43"/>
      <c r="H502" s="42">
        <v>1292743.02</v>
      </c>
      <c r="I502" s="36"/>
    </row>
    <row r="503" spans="1:10" ht="22.15" customHeight="1" x14ac:dyDescent="0.35">
      <c r="A503" s="264" t="s">
        <v>261</v>
      </c>
      <c r="B503" s="265"/>
      <c r="C503" s="265"/>
      <c r="D503" s="265"/>
      <c r="E503" s="266"/>
      <c r="F503" s="42">
        <v>479000</v>
      </c>
      <c r="G503" s="43"/>
      <c r="H503" s="42">
        <v>145878</v>
      </c>
      <c r="I503" s="36"/>
    </row>
    <row r="504" spans="1:10" ht="22.15" customHeight="1" x14ac:dyDescent="0.35">
      <c r="A504" s="258" t="s">
        <v>64</v>
      </c>
      <c r="B504" s="259"/>
      <c r="C504" s="259"/>
      <c r="D504" s="259"/>
      <c r="E504" s="260"/>
      <c r="F504" s="40">
        <f>SUM(F500:F503)</f>
        <v>7121707.6799999997</v>
      </c>
      <c r="G504" s="41"/>
      <c r="H504" s="40">
        <f>SUM(H500:H503)</f>
        <v>6992291.0199999996</v>
      </c>
      <c r="I504" s="36"/>
    </row>
    <row r="505" spans="1:10" ht="22.15" customHeight="1" x14ac:dyDescent="0.35">
      <c r="A505" s="36"/>
      <c r="B505" s="36"/>
      <c r="C505" s="36"/>
      <c r="D505" s="36"/>
      <c r="E505" s="36"/>
      <c r="F505" s="37"/>
      <c r="G505" s="37"/>
      <c r="H505" s="37"/>
      <c r="I505" s="36"/>
    </row>
    <row r="506" spans="1:10" ht="22.15" customHeight="1" x14ac:dyDescent="0.35">
      <c r="A506" s="36"/>
      <c r="B506" s="36"/>
      <c r="C506" s="36"/>
      <c r="D506" s="36"/>
      <c r="E506" s="36"/>
      <c r="F506" s="37"/>
      <c r="G506" s="37"/>
      <c r="H506" s="37"/>
      <c r="I506" s="36"/>
    </row>
    <row r="507" spans="1:10" ht="22.15" customHeight="1" x14ac:dyDescent="0.35">
      <c r="A507" s="36"/>
      <c r="B507" s="36"/>
      <c r="C507" s="36"/>
      <c r="D507" s="36"/>
      <c r="E507" s="36"/>
      <c r="F507" s="37"/>
      <c r="G507" s="37"/>
      <c r="H507" s="37"/>
      <c r="I507" s="36"/>
    </row>
    <row r="508" spans="1:10" ht="22.15" customHeight="1" x14ac:dyDescent="0.35">
      <c r="A508" s="36"/>
      <c r="B508" s="36"/>
      <c r="C508" s="36"/>
      <c r="D508" s="36"/>
      <c r="E508" s="36"/>
      <c r="F508" s="37"/>
      <c r="G508" s="37"/>
      <c r="H508" s="37"/>
      <c r="I508" s="36"/>
    </row>
    <row r="509" spans="1:10" ht="22.15" customHeight="1" x14ac:dyDescent="0.35">
      <c r="A509" s="36"/>
      <c r="B509" s="36"/>
      <c r="C509" s="36"/>
      <c r="D509" s="36"/>
      <c r="E509" s="36"/>
      <c r="F509" s="37"/>
      <c r="G509" s="37"/>
      <c r="H509" s="37"/>
      <c r="I509" s="36"/>
    </row>
    <row r="510" spans="1:10" ht="22.15" customHeight="1" x14ac:dyDescent="0.35">
      <c r="A510" s="36"/>
      <c r="B510" s="36"/>
      <c r="C510" s="36"/>
      <c r="D510" s="36"/>
      <c r="E510" s="36"/>
      <c r="F510" s="37"/>
      <c r="G510" s="37"/>
      <c r="H510" s="37"/>
      <c r="I510" s="36"/>
    </row>
    <row r="511" spans="1:10" ht="22.15" customHeight="1" x14ac:dyDescent="0.35">
      <c r="A511" s="38" t="s">
        <v>80</v>
      </c>
      <c r="B511" s="38" t="s">
        <v>88</v>
      </c>
      <c r="C511" s="38"/>
      <c r="D511" s="38"/>
      <c r="E511" s="36"/>
      <c r="F511" s="37"/>
      <c r="G511" s="37"/>
      <c r="H511" s="37"/>
      <c r="I511" s="36"/>
    </row>
    <row r="512" spans="1:10" ht="22.15" customHeight="1" x14ac:dyDescent="0.35">
      <c r="A512" s="38"/>
      <c r="B512" s="38"/>
      <c r="C512" s="38"/>
      <c r="D512" s="38"/>
      <c r="E512" s="36"/>
      <c r="F512" s="37"/>
      <c r="G512" s="37"/>
      <c r="H512" s="37"/>
      <c r="I512" s="36"/>
    </row>
    <row r="513" spans="1:10" ht="22.15" customHeight="1" x14ac:dyDescent="0.35">
      <c r="B513" s="36"/>
      <c r="C513" s="36"/>
      <c r="D513" s="36"/>
      <c r="E513" s="36"/>
      <c r="F513" s="37"/>
      <c r="G513" s="37"/>
      <c r="H513" s="37"/>
      <c r="I513" s="36"/>
    </row>
    <row r="514" spans="1:10" ht="22.15" customHeight="1" x14ac:dyDescent="0.35">
      <c r="A514" s="36" t="s">
        <v>470</v>
      </c>
      <c r="B514" s="36"/>
      <c r="C514" s="36"/>
      <c r="D514" s="36"/>
      <c r="E514" s="36"/>
      <c r="F514" s="37"/>
      <c r="G514" s="37"/>
      <c r="H514" s="37"/>
      <c r="I514" s="36"/>
    </row>
    <row r="515" spans="1:10" ht="22.15" customHeight="1" x14ac:dyDescent="0.35">
      <c r="A515" s="36" t="s">
        <v>155</v>
      </c>
      <c r="B515" s="36"/>
      <c r="C515" s="36"/>
      <c r="D515" s="36"/>
      <c r="E515" s="36"/>
      <c r="F515" s="37"/>
      <c r="G515" s="37"/>
      <c r="H515" s="37"/>
      <c r="I515" s="36"/>
    </row>
    <row r="516" spans="1:10" ht="22.15" customHeight="1" x14ac:dyDescent="0.35">
      <c r="A516" s="350" t="s">
        <v>4</v>
      </c>
      <c r="B516" s="351"/>
      <c r="C516" s="351"/>
      <c r="D516" s="351"/>
      <c r="E516" s="352"/>
      <c r="F516" s="152">
        <v>2026</v>
      </c>
      <c r="G516" s="41"/>
      <c r="H516" s="152">
        <v>2025</v>
      </c>
      <c r="I516" s="36"/>
    </row>
    <row r="517" spans="1:10" ht="22.15" customHeight="1" x14ac:dyDescent="0.35">
      <c r="A517" s="264" t="s">
        <v>180</v>
      </c>
      <c r="B517" s="265"/>
      <c r="C517" s="265"/>
      <c r="D517" s="265"/>
      <c r="E517" s="266"/>
      <c r="F517" s="42">
        <v>385672.22</v>
      </c>
      <c r="G517" s="43"/>
      <c r="H517" s="42">
        <v>980302.88</v>
      </c>
      <c r="I517" s="36"/>
    </row>
    <row r="518" spans="1:10" ht="22.15" customHeight="1" x14ac:dyDescent="0.35">
      <c r="A518" s="264" t="s">
        <v>181</v>
      </c>
      <c r="B518" s="265"/>
      <c r="C518" s="265"/>
      <c r="D518" s="265"/>
      <c r="E518" s="266"/>
      <c r="F518" s="42">
        <f>211257.1+12454.55</f>
        <v>223711.65</v>
      </c>
      <c r="G518" s="43"/>
      <c r="H518" s="42">
        <v>247922.24</v>
      </c>
      <c r="I518" s="36"/>
    </row>
    <row r="519" spans="1:10" ht="22.15" customHeight="1" x14ac:dyDescent="0.35">
      <c r="A519" s="264" t="s">
        <v>263</v>
      </c>
      <c r="B519" s="265"/>
      <c r="C519" s="265"/>
      <c r="D519" s="265"/>
      <c r="E519" s="266"/>
      <c r="F519" s="42">
        <v>1383000</v>
      </c>
      <c r="G519" s="43"/>
      <c r="H519" s="42">
        <v>4958784.82</v>
      </c>
      <c r="I519" s="36"/>
    </row>
    <row r="520" spans="1:10" ht="22.15" customHeight="1" x14ac:dyDescent="0.35">
      <c r="A520" s="264" t="s">
        <v>207</v>
      </c>
      <c r="B520" s="265"/>
      <c r="C520" s="265"/>
      <c r="D520" s="265"/>
      <c r="E520" s="266"/>
      <c r="F520" s="42">
        <v>319109.64</v>
      </c>
      <c r="G520" s="43"/>
      <c r="H520" s="42">
        <v>126411.27</v>
      </c>
      <c r="I520" s="36"/>
    </row>
    <row r="521" spans="1:10" ht="22.15" customHeight="1" x14ac:dyDescent="0.35">
      <c r="A521" s="264" t="s">
        <v>89</v>
      </c>
      <c r="B521" s="265"/>
      <c r="C521" s="265"/>
      <c r="D521" s="265"/>
      <c r="E521" s="266"/>
      <c r="F521" s="42">
        <v>393262.72</v>
      </c>
      <c r="G521" s="43"/>
      <c r="H521" s="42">
        <v>393450.56</v>
      </c>
      <c r="I521" s="36"/>
    </row>
    <row r="522" spans="1:10" ht="22.15" customHeight="1" x14ac:dyDescent="0.35">
      <c r="A522" s="264" t="s">
        <v>90</v>
      </c>
      <c r="B522" s="265"/>
      <c r="C522" s="265"/>
      <c r="D522" s="265"/>
      <c r="E522" s="266"/>
      <c r="F522" s="42">
        <f>8887139.64+2649.01</f>
        <v>8889788.6500000004</v>
      </c>
      <c r="G522" s="43"/>
      <c r="H522" s="42">
        <f>8407126.88+137406.44</f>
        <v>8544533.3200000003</v>
      </c>
      <c r="I522" s="36"/>
    </row>
    <row r="523" spans="1:10" ht="22.15" customHeight="1" x14ac:dyDescent="0.35">
      <c r="A523" s="264" t="s">
        <v>175</v>
      </c>
      <c r="B523" s="265"/>
      <c r="C523" s="265"/>
      <c r="D523" s="265"/>
      <c r="E523" s="266"/>
      <c r="F523" s="42">
        <v>30409.64</v>
      </c>
      <c r="G523" s="43"/>
      <c r="H523" s="42">
        <v>24814.17</v>
      </c>
      <c r="I523" s="36"/>
    </row>
    <row r="524" spans="1:10" ht="22.15" customHeight="1" x14ac:dyDescent="0.35">
      <c r="A524" s="273" t="s">
        <v>362</v>
      </c>
      <c r="B524" s="63"/>
      <c r="C524" s="63"/>
      <c r="D524" s="63"/>
      <c r="E524" s="274"/>
      <c r="F524" s="42">
        <v>204145.99</v>
      </c>
      <c r="G524" s="43"/>
      <c r="H524" s="42">
        <v>34155.300000000003</v>
      </c>
      <c r="I524" s="36"/>
      <c r="J524" s="82"/>
    </row>
    <row r="525" spans="1:10" ht="22.15" customHeight="1" x14ac:dyDescent="0.35">
      <c r="A525" s="264" t="s">
        <v>364</v>
      </c>
      <c r="B525" s="265"/>
      <c r="C525" s="265"/>
      <c r="D525" s="265"/>
      <c r="E525" s="266"/>
      <c r="F525" s="42">
        <v>55020.93</v>
      </c>
      <c r="G525" s="41"/>
      <c r="H525" s="42">
        <v>21436.17</v>
      </c>
      <c r="I525" s="36"/>
      <c r="J525" s="82"/>
    </row>
    <row r="526" spans="1:10" ht="22.15" customHeight="1" x14ac:dyDescent="0.35">
      <c r="A526" s="264" t="s">
        <v>480</v>
      </c>
      <c r="B526" s="265"/>
      <c r="C526" s="265"/>
      <c r="D526" s="265"/>
      <c r="E526" s="266"/>
      <c r="F526" s="42">
        <v>328767.7</v>
      </c>
      <c r="G526" s="41"/>
      <c r="H526" s="42">
        <v>0</v>
      </c>
      <c r="I526" s="36"/>
      <c r="J526" s="82"/>
    </row>
    <row r="527" spans="1:10" ht="22.15" customHeight="1" x14ac:dyDescent="0.35">
      <c r="A527" s="264" t="s">
        <v>479</v>
      </c>
      <c r="B527" s="265"/>
      <c r="C527" s="265"/>
      <c r="D527" s="265"/>
      <c r="E527" s="266"/>
      <c r="F527" s="42">
        <v>471296.25</v>
      </c>
      <c r="G527" s="41"/>
      <c r="H527" s="42">
        <v>0</v>
      </c>
      <c r="I527" s="36"/>
      <c r="J527" s="82"/>
    </row>
    <row r="528" spans="1:10" ht="22.15" customHeight="1" x14ac:dyDescent="0.35">
      <c r="A528" s="264" t="s">
        <v>363</v>
      </c>
      <c r="B528" s="265"/>
      <c r="C528" s="265"/>
      <c r="D528" s="265"/>
      <c r="E528" s="266"/>
      <c r="F528" s="42">
        <f>0.22+164758.6+134505.29+52196.24+1425.13+0.09</f>
        <v>352885.57</v>
      </c>
      <c r="G528" s="41"/>
      <c r="H528" s="42">
        <v>971130.13</v>
      </c>
      <c r="I528" s="36"/>
      <c r="J528" s="82"/>
    </row>
    <row r="529" spans="1:17" ht="22.15" customHeight="1" x14ac:dyDescent="0.35">
      <c r="A529" s="258" t="s">
        <v>153</v>
      </c>
      <c r="B529" s="259"/>
      <c r="C529" s="259"/>
      <c r="D529" s="259"/>
      <c r="E529" s="260"/>
      <c r="F529" s="40">
        <f>SUM(F517:F528)</f>
        <v>13037070.960000001</v>
      </c>
      <c r="G529" s="37"/>
      <c r="H529" s="40">
        <f>SUM(H517:H528)</f>
        <v>16302940.860000001</v>
      </c>
      <c r="I529" s="36"/>
      <c r="J529" s="82"/>
      <c r="Q529" s="195"/>
    </row>
    <row r="530" spans="1:17" ht="22.15" customHeight="1" x14ac:dyDescent="0.35">
      <c r="A530" s="55"/>
      <c r="B530" s="55"/>
      <c r="C530" s="55"/>
      <c r="D530" s="55"/>
      <c r="E530" s="55"/>
      <c r="F530" s="64"/>
      <c r="G530" s="37"/>
      <c r="H530" s="64"/>
      <c r="I530" s="36"/>
      <c r="J530" s="82"/>
    </row>
    <row r="531" spans="1:17" ht="22.15" customHeight="1" x14ac:dyDescent="0.35">
      <c r="A531" s="55"/>
      <c r="B531" s="55"/>
      <c r="C531" s="55"/>
      <c r="D531" s="55"/>
      <c r="E531" s="55"/>
      <c r="F531" s="64"/>
      <c r="G531" s="37"/>
      <c r="H531" s="64"/>
      <c r="I531" s="36"/>
      <c r="J531" s="82"/>
    </row>
    <row r="532" spans="1:17" ht="22.15" customHeight="1" x14ac:dyDescent="0.35">
      <c r="A532" s="36"/>
      <c r="B532" s="36"/>
      <c r="C532" s="36"/>
      <c r="D532" s="36"/>
      <c r="E532" s="36"/>
      <c r="F532" s="37"/>
      <c r="G532" s="37"/>
      <c r="H532" s="37"/>
      <c r="I532" s="36"/>
      <c r="J532" s="82"/>
    </row>
    <row r="533" spans="1:17" ht="22.15" customHeight="1" x14ac:dyDescent="0.35">
      <c r="A533" s="38" t="s">
        <v>81</v>
      </c>
      <c r="B533" s="55" t="s">
        <v>92</v>
      </c>
      <c r="C533" s="55"/>
      <c r="D533" s="55"/>
      <c r="E533" s="55"/>
      <c r="F533" s="64"/>
      <c r="G533" s="41"/>
      <c r="H533" s="64"/>
      <c r="I533" s="36"/>
      <c r="J533" s="82"/>
    </row>
    <row r="534" spans="1:17" ht="22.15" customHeight="1" x14ac:dyDescent="0.35">
      <c r="A534" s="38"/>
      <c r="B534" s="55"/>
      <c r="C534" s="55"/>
      <c r="D534" s="55"/>
      <c r="E534" s="55"/>
      <c r="F534" s="64"/>
      <c r="G534" s="41"/>
      <c r="H534" s="64"/>
      <c r="I534" s="36"/>
      <c r="J534" s="82"/>
    </row>
    <row r="535" spans="1:17" ht="22.15" customHeight="1" x14ac:dyDescent="0.35">
      <c r="A535" s="63" t="s">
        <v>471</v>
      </c>
      <c r="B535" s="55"/>
      <c r="C535" s="55"/>
      <c r="D535" s="55"/>
      <c r="E535" s="55"/>
      <c r="F535" s="64"/>
      <c r="G535" s="41"/>
      <c r="H535" s="64"/>
      <c r="I535" s="36"/>
      <c r="J535" s="82"/>
    </row>
    <row r="536" spans="1:17" ht="22.15" customHeight="1" x14ac:dyDescent="0.35">
      <c r="A536" s="63" t="s">
        <v>155</v>
      </c>
      <c r="B536" s="55"/>
      <c r="C536" s="55"/>
      <c r="D536" s="55"/>
      <c r="E536" s="55"/>
      <c r="F536" s="64"/>
      <c r="G536" s="41"/>
      <c r="H536" s="64"/>
      <c r="I536" s="36"/>
      <c r="J536" s="82"/>
    </row>
    <row r="537" spans="1:17" ht="22.15" customHeight="1" x14ac:dyDescent="0.35">
      <c r="A537" s="353" t="s">
        <v>4</v>
      </c>
      <c r="B537" s="354"/>
      <c r="C537" s="354"/>
      <c r="D537" s="354"/>
      <c r="E537" s="355"/>
      <c r="F537" s="183">
        <v>2026</v>
      </c>
      <c r="G537" s="41"/>
      <c r="H537" s="183">
        <v>2025</v>
      </c>
      <c r="I537" s="36"/>
    </row>
    <row r="538" spans="1:17" ht="22.15" customHeight="1" x14ac:dyDescent="0.35">
      <c r="A538" s="162" t="s">
        <v>264</v>
      </c>
      <c r="B538" s="46"/>
      <c r="C538" s="46"/>
      <c r="D538" s="46"/>
      <c r="E538" s="184"/>
      <c r="F538" s="79">
        <v>3570951.76</v>
      </c>
      <c r="G538" s="43"/>
      <c r="H538" s="79">
        <v>2954676.36</v>
      </c>
      <c r="I538" s="36"/>
    </row>
    <row r="539" spans="1:17" ht="22.15" hidden="1" customHeight="1" x14ac:dyDescent="0.35">
      <c r="A539" s="162" t="s">
        <v>265</v>
      </c>
      <c r="B539" s="46"/>
      <c r="C539" s="46"/>
      <c r="D539" s="46"/>
      <c r="E539" s="184"/>
      <c r="F539" s="79">
        <v>0</v>
      </c>
      <c r="G539" s="43"/>
      <c r="H539" s="79">
        <v>0</v>
      </c>
      <c r="I539" s="36"/>
    </row>
    <row r="540" spans="1:17" ht="22.15" customHeight="1" x14ac:dyDescent="0.35">
      <c r="A540" s="261" t="s">
        <v>93</v>
      </c>
      <c r="B540" s="262"/>
      <c r="C540" s="262"/>
      <c r="D540" s="262"/>
      <c r="E540" s="263"/>
      <c r="F540" s="185">
        <f>SUM(F538:F539)</f>
        <v>3570951.76</v>
      </c>
      <c r="G540" s="43"/>
      <c r="H540" s="185">
        <f>SUM(H538:H539)</f>
        <v>2954676.36</v>
      </c>
      <c r="I540" s="36"/>
    </row>
    <row r="541" spans="1:17" ht="22.15" customHeight="1" x14ac:dyDescent="0.35">
      <c r="A541" s="55"/>
      <c r="B541" s="55"/>
      <c r="C541" s="55"/>
      <c r="D541" s="55"/>
      <c r="E541" s="55"/>
      <c r="F541" s="64"/>
      <c r="G541" s="41"/>
      <c r="H541" s="64"/>
      <c r="I541" s="36"/>
    </row>
    <row r="542" spans="1:17" ht="22.15" customHeight="1" x14ac:dyDescent="0.35">
      <c r="A542" s="55"/>
      <c r="B542" s="55"/>
      <c r="C542" s="55"/>
      <c r="D542" s="55"/>
      <c r="E542" s="55"/>
      <c r="F542" s="64"/>
      <c r="G542" s="41"/>
      <c r="H542" s="64"/>
      <c r="I542" s="36"/>
    </row>
    <row r="543" spans="1:17" ht="22.15" customHeight="1" x14ac:dyDescent="0.35">
      <c r="A543" s="36"/>
      <c r="B543" s="36"/>
      <c r="C543" s="36"/>
      <c r="D543" s="36"/>
      <c r="E543" s="36"/>
      <c r="F543" s="37"/>
      <c r="G543" s="37"/>
      <c r="H543" s="37"/>
      <c r="I543" s="36"/>
    </row>
    <row r="544" spans="1:17" ht="22.15" customHeight="1" x14ac:dyDescent="0.35">
      <c r="A544" s="38" t="s">
        <v>87</v>
      </c>
      <c r="B544" s="38" t="s">
        <v>178</v>
      </c>
      <c r="C544" s="38"/>
      <c r="D544" s="38"/>
      <c r="E544" s="36"/>
      <c r="F544" s="37"/>
      <c r="G544" s="37"/>
      <c r="H544" s="37"/>
      <c r="I544" s="36"/>
      <c r="J544" s="82"/>
    </row>
    <row r="545" spans="1:10" ht="22.15" customHeight="1" x14ac:dyDescent="0.35">
      <c r="A545" s="38"/>
      <c r="B545" s="38"/>
      <c r="C545" s="38"/>
      <c r="D545" s="38"/>
      <c r="E545" s="36"/>
      <c r="F545" s="37"/>
      <c r="G545" s="37"/>
      <c r="H545" s="37"/>
      <c r="I545" s="36"/>
      <c r="J545" s="82"/>
    </row>
    <row r="546" spans="1:10" ht="22.15" customHeight="1" x14ac:dyDescent="0.35">
      <c r="A546" s="36" t="s">
        <v>472</v>
      </c>
      <c r="B546" s="36"/>
      <c r="C546" s="36"/>
      <c r="D546" s="36"/>
      <c r="E546" s="36"/>
      <c r="F546" s="37"/>
      <c r="G546" s="37"/>
      <c r="H546" s="37"/>
      <c r="I546" s="36"/>
      <c r="J546" s="82"/>
    </row>
    <row r="547" spans="1:10" ht="22.15" customHeight="1" x14ac:dyDescent="0.35">
      <c r="A547" s="36"/>
      <c r="B547" s="36"/>
      <c r="C547" s="36"/>
      <c r="D547" s="36"/>
      <c r="E547" s="36"/>
      <c r="F547" s="37"/>
      <c r="G547" s="37"/>
      <c r="H547" s="37"/>
      <c r="I547" s="36"/>
      <c r="J547" s="82"/>
    </row>
    <row r="548" spans="1:10" ht="22.15" customHeight="1" x14ac:dyDescent="0.35">
      <c r="A548" s="350" t="s">
        <v>4</v>
      </c>
      <c r="B548" s="351"/>
      <c r="C548" s="351"/>
      <c r="D548" s="351"/>
      <c r="E548" s="352"/>
      <c r="F548" s="153">
        <v>2026</v>
      </c>
      <c r="G548" s="41"/>
      <c r="H548" s="153">
        <v>2025</v>
      </c>
      <c r="I548" s="36"/>
      <c r="J548" s="82"/>
    </row>
    <row r="549" spans="1:10" ht="22.15" customHeight="1" x14ac:dyDescent="0.35">
      <c r="A549" s="264" t="s">
        <v>82</v>
      </c>
      <c r="B549" s="265"/>
      <c r="C549" s="265"/>
      <c r="D549" s="265"/>
      <c r="E549" s="266"/>
      <c r="F549" s="42">
        <v>3954867.54</v>
      </c>
      <c r="G549" s="43"/>
      <c r="H549" s="42">
        <v>4000294.7</v>
      </c>
      <c r="I549" s="36"/>
      <c r="J549" s="82"/>
    </row>
    <row r="550" spans="1:10" ht="22.15" customHeight="1" x14ac:dyDescent="0.35">
      <c r="A550" s="264" t="s">
        <v>83</v>
      </c>
      <c r="B550" s="265"/>
      <c r="C550" s="265"/>
      <c r="D550" s="265"/>
      <c r="E550" s="266"/>
      <c r="F550" s="42">
        <v>2090485.12</v>
      </c>
      <c r="G550" s="43"/>
      <c r="H550" s="42">
        <v>1866636.07</v>
      </c>
      <c r="I550" s="36"/>
      <c r="J550" s="82"/>
    </row>
    <row r="551" spans="1:10" ht="22.15" customHeight="1" x14ac:dyDescent="0.35">
      <c r="A551" s="264" t="s">
        <v>266</v>
      </c>
      <c r="B551" s="265"/>
      <c r="C551" s="265"/>
      <c r="D551" s="265"/>
      <c r="E551" s="266"/>
      <c r="F551" s="42">
        <v>1330883.78</v>
      </c>
      <c r="G551" s="43"/>
      <c r="H551" s="42">
        <v>1028960</v>
      </c>
      <c r="I551" s="36"/>
      <c r="J551" s="82"/>
    </row>
    <row r="552" spans="1:10" ht="22.15" customHeight="1" x14ac:dyDescent="0.35">
      <c r="A552" s="264" t="s">
        <v>162</v>
      </c>
      <c r="B552" s="265"/>
      <c r="C552" s="265"/>
      <c r="D552" s="265"/>
      <c r="E552" s="266"/>
      <c r="F552" s="42">
        <v>2678789.9</v>
      </c>
      <c r="G552" s="43"/>
      <c r="H552" s="42">
        <v>2455737.13</v>
      </c>
      <c r="I552" s="36"/>
      <c r="J552" s="82"/>
    </row>
    <row r="553" spans="1:10" ht="22.15" customHeight="1" x14ac:dyDescent="0.35">
      <c r="A553" s="264" t="s">
        <v>84</v>
      </c>
      <c r="B553" s="265"/>
      <c r="C553" s="265"/>
      <c r="D553" s="265"/>
      <c r="E553" s="266"/>
      <c r="F553" s="42">
        <v>1649622.92</v>
      </c>
      <c r="G553" s="43"/>
      <c r="H553" s="42">
        <v>1253434.94</v>
      </c>
      <c r="I553" s="36"/>
      <c r="J553" s="82"/>
    </row>
    <row r="554" spans="1:10" ht="22.15" customHeight="1" x14ac:dyDescent="0.35">
      <c r="A554" s="264" t="s">
        <v>97</v>
      </c>
      <c r="B554" s="265"/>
      <c r="C554" s="265"/>
      <c r="D554" s="265"/>
      <c r="E554" s="266"/>
      <c r="F554" s="42">
        <v>185850</v>
      </c>
      <c r="G554" s="43"/>
      <c r="H554" s="42">
        <v>0</v>
      </c>
      <c r="I554" s="36"/>
      <c r="J554" s="82"/>
    </row>
    <row r="555" spans="1:10" ht="22.15" customHeight="1" x14ac:dyDescent="0.35">
      <c r="A555" s="264" t="s">
        <v>85</v>
      </c>
      <c r="B555" s="265"/>
      <c r="C555" s="265"/>
      <c r="D555" s="265"/>
      <c r="E555" s="266"/>
      <c r="F555" s="42">
        <f>3961626.45</f>
        <v>3961626.45</v>
      </c>
      <c r="G555" s="43"/>
      <c r="H555" s="42">
        <v>3245799.14</v>
      </c>
      <c r="I555" s="36"/>
      <c r="J555" s="82"/>
    </row>
    <row r="556" spans="1:10" ht="22.15" customHeight="1" x14ac:dyDescent="0.35">
      <c r="A556" s="264" t="s">
        <v>365</v>
      </c>
      <c r="B556" s="265"/>
      <c r="C556" s="265"/>
      <c r="D556" s="265"/>
      <c r="E556" s="266"/>
      <c r="F556" s="42">
        <f>54056.15+503705.7</f>
        <v>557761.85</v>
      </c>
      <c r="G556" s="43"/>
      <c r="H556" s="42">
        <f>43615.92+310058.3</f>
        <v>353674.22</v>
      </c>
      <c r="I556" s="36"/>
      <c r="J556" s="82"/>
    </row>
    <row r="557" spans="1:10" ht="22.15" customHeight="1" x14ac:dyDescent="0.35">
      <c r="A557" s="264" t="s">
        <v>366</v>
      </c>
      <c r="B557" s="265"/>
      <c r="C557" s="265"/>
      <c r="D557" s="265"/>
      <c r="E557" s="266"/>
      <c r="F557" s="42">
        <f>146058.85+2988677.64</f>
        <v>3134736.49</v>
      </c>
      <c r="G557" s="43"/>
      <c r="H557" s="42">
        <f>88107.62+2373171.91</f>
        <v>2461279.5300000003</v>
      </c>
      <c r="I557" s="36"/>
      <c r="J557" s="82"/>
    </row>
    <row r="558" spans="1:10" ht="22.15" customHeight="1" x14ac:dyDescent="0.35">
      <c r="A558" s="264" t="s">
        <v>267</v>
      </c>
      <c r="B558" s="265"/>
      <c r="C558" s="265"/>
      <c r="D558" s="265"/>
      <c r="E558" s="266"/>
      <c r="F558" s="289">
        <v>706477.35</v>
      </c>
      <c r="G558" s="43"/>
      <c r="H558" s="289">
        <v>767556.79</v>
      </c>
      <c r="I558" s="36"/>
      <c r="J558" s="82"/>
    </row>
    <row r="559" spans="1:10" ht="22.15" customHeight="1" x14ac:dyDescent="0.35">
      <c r="A559" s="264" t="s">
        <v>157</v>
      </c>
      <c r="B559" s="265"/>
      <c r="C559" s="265"/>
      <c r="D559" s="265"/>
      <c r="E559" s="266"/>
      <c r="F559" s="42">
        <v>0</v>
      </c>
      <c r="G559" s="43"/>
      <c r="H559" s="42">
        <v>45601</v>
      </c>
      <c r="I559" s="36"/>
      <c r="J559" s="82"/>
    </row>
    <row r="560" spans="1:10" ht="22.15" customHeight="1" x14ac:dyDescent="0.35">
      <c r="A560" s="264" t="s">
        <v>158</v>
      </c>
      <c r="B560" s="265"/>
      <c r="C560" s="265"/>
      <c r="D560" s="265"/>
      <c r="E560" s="266"/>
      <c r="F560" s="42">
        <v>787355</v>
      </c>
      <c r="G560" s="43"/>
      <c r="H560" s="42">
        <v>342040</v>
      </c>
      <c r="I560" s="36"/>
      <c r="J560" s="82"/>
    </row>
    <row r="561" spans="1:10" ht="22.15" customHeight="1" x14ac:dyDescent="0.35">
      <c r="A561" s="264" t="s">
        <v>86</v>
      </c>
      <c r="B561" s="265"/>
      <c r="C561" s="265"/>
      <c r="D561" s="265"/>
      <c r="E561" s="266"/>
      <c r="F561" s="42">
        <v>0</v>
      </c>
      <c r="G561" s="43"/>
      <c r="H561" s="42">
        <v>12000</v>
      </c>
      <c r="I561" s="36"/>
    </row>
    <row r="562" spans="1:10" ht="22.15" customHeight="1" x14ac:dyDescent="0.35">
      <c r="A562" s="264" t="s">
        <v>172</v>
      </c>
      <c r="B562" s="265"/>
      <c r="C562" s="265"/>
      <c r="D562" s="265"/>
      <c r="E562" s="266"/>
      <c r="F562" s="42">
        <v>1866262.6</v>
      </c>
      <c r="G562" s="43"/>
      <c r="H562" s="42">
        <v>1635053.95</v>
      </c>
      <c r="I562" s="36"/>
    </row>
    <row r="563" spans="1:10" ht="22.15" customHeight="1" x14ac:dyDescent="0.35">
      <c r="A563" s="264" t="s">
        <v>367</v>
      </c>
      <c r="B563" s="265"/>
      <c r="C563" s="265"/>
      <c r="D563" s="265"/>
      <c r="E563" s="266"/>
      <c r="F563" s="42">
        <v>0</v>
      </c>
      <c r="G563" s="43"/>
      <c r="H563" s="42">
        <f>45312+1.07</f>
        <v>45313.07</v>
      </c>
      <c r="I563" s="36"/>
    </row>
    <row r="564" spans="1:10" ht="22.15" hidden="1" customHeight="1" x14ac:dyDescent="0.35">
      <c r="A564" s="264" t="s">
        <v>387</v>
      </c>
      <c r="B564" s="265"/>
      <c r="C564" s="265"/>
      <c r="D564" s="265"/>
      <c r="E564" s="266"/>
      <c r="F564" s="42"/>
      <c r="G564" s="43"/>
      <c r="H564" s="42"/>
      <c r="I564" s="36"/>
      <c r="J564" s="82"/>
    </row>
    <row r="565" spans="1:10" ht="22.15" hidden="1" customHeight="1" x14ac:dyDescent="0.35">
      <c r="A565" s="162" t="s">
        <v>286</v>
      </c>
      <c r="B565" s="46"/>
      <c r="C565" s="46"/>
      <c r="D565" s="182"/>
      <c r="E565" s="266"/>
      <c r="F565" s="42"/>
      <c r="G565" s="43"/>
      <c r="H565" s="42"/>
      <c r="I565" s="36"/>
      <c r="J565" s="82"/>
    </row>
    <row r="566" spans="1:10" x14ac:dyDescent="0.35">
      <c r="A566" s="34" t="s">
        <v>368</v>
      </c>
      <c r="F566" s="42">
        <v>0</v>
      </c>
      <c r="H566" s="42">
        <v>0</v>
      </c>
    </row>
    <row r="567" spans="1:10" ht="22.15" customHeight="1" x14ac:dyDescent="0.35">
      <c r="A567" s="258" t="s">
        <v>179</v>
      </c>
      <c r="B567" s="265"/>
      <c r="C567" s="265"/>
      <c r="D567" s="265"/>
      <c r="E567" s="266"/>
      <c r="F567" s="40">
        <f>SUM(F549:F566)</f>
        <v>22904719.000000004</v>
      </c>
      <c r="G567" s="43"/>
      <c r="H567" s="40">
        <f>SUM(H549:H566)</f>
        <v>19513380.539999999</v>
      </c>
      <c r="I567" s="36"/>
      <c r="J567" s="82"/>
    </row>
    <row r="568" spans="1:10" ht="22.15" customHeight="1" x14ac:dyDescent="0.35">
      <c r="A568" s="36"/>
      <c r="B568" s="36"/>
      <c r="C568" s="36"/>
      <c r="D568" s="36"/>
      <c r="E568" s="36"/>
      <c r="F568" s="37"/>
      <c r="G568" s="37"/>
      <c r="H568" s="37"/>
      <c r="I568" s="36"/>
      <c r="J568" s="82"/>
    </row>
    <row r="569" spans="1:10" ht="22.15" customHeight="1" x14ac:dyDescent="0.35">
      <c r="A569" s="36"/>
      <c r="B569" s="36"/>
      <c r="C569" s="36"/>
      <c r="D569" s="36"/>
      <c r="E569" s="36"/>
      <c r="F569" s="37"/>
      <c r="G569" s="37"/>
      <c r="H569" s="37"/>
      <c r="I569" s="36"/>
      <c r="J569" s="82"/>
    </row>
    <row r="570" spans="1:10" ht="22.15" customHeight="1" x14ac:dyDescent="0.35">
      <c r="A570" s="36"/>
      <c r="B570" s="36"/>
      <c r="C570" s="36"/>
      <c r="D570" s="36"/>
      <c r="E570" s="36"/>
      <c r="F570" s="37"/>
      <c r="G570" s="37"/>
      <c r="H570" s="37"/>
      <c r="I570" s="36"/>
      <c r="J570" s="82"/>
    </row>
    <row r="571" spans="1:10" ht="22.15" customHeight="1" x14ac:dyDescent="0.35">
      <c r="A571" s="55"/>
      <c r="B571" s="55"/>
      <c r="C571" s="55"/>
      <c r="D571" s="55"/>
      <c r="E571" s="55"/>
      <c r="F571" s="64"/>
      <c r="G571" s="41"/>
      <c r="H571" s="64"/>
      <c r="I571" s="36"/>
      <c r="J571" s="82"/>
    </row>
    <row r="572" spans="1:10" ht="22.15" customHeight="1" x14ac:dyDescent="0.35">
      <c r="A572" s="55"/>
      <c r="B572" s="55"/>
      <c r="C572" s="55"/>
      <c r="D572" s="55"/>
      <c r="E572" s="55"/>
      <c r="F572" s="64"/>
      <c r="G572" s="41"/>
      <c r="H572" s="64"/>
      <c r="I572" s="36"/>
      <c r="J572" s="82"/>
    </row>
    <row r="573" spans="1:10" ht="22.15" customHeight="1" x14ac:dyDescent="0.35">
      <c r="A573" s="38" t="s">
        <v>91</v>
      </c>
      <c r="B573" s="55" t="s">
        <v>95</v>
      </c>
      <c r="C573" s="55"/>
      <c r="D573" s="55"/>
      <c r="E573" s="55"/>
      <c r="F573" s="64"/>
      <c r="G573" s="41"/>
      <c r="H573" s="64"/>
      <c r="I573" s="36"/>
      <c r="J573" s="82"/>
    </row>
    <row r="574" spans="1:10" ht="22.15" customHeight="1" x14ac:dyDescent="0.35">
      <c r="A574" s="38"/>
      <c r="B574" s="55"/>
      <c r="C574" s="55"/>
      <c r="D574" s="55"/>
      <c r="E574" s="55"/>
      <c r="F574" s="64"/>
      <c r="G574" s="41"/>
      <c r="H574" s="64"/>
      <c r="I574" s="36"/>
      <c r="J574" s="82"/>
    </row>
    <row r="575" spans="1:10" ht="22.15" customHeight="1" x14ac:dyDescent="0.35">
      <c r="A575" s="63" t="s">
        <v>473</v>
      </c>
      <c r="B575" s="55"/>
      <c r="C575" s="55"/>
      <c r="D575" s="55"/>
      <c r="E575" s="55"/>
      <c r="F575" s="64"/>
      <c r="G575" s="41"/>
      <c r="H575" s="64"/>
      <c r="I575" s="36"/>
      <c r="J575" s="82"/>
    </row>
    <row r="576" spans="1:10" ht="22.15" customHeight="1" x14ac:dyDescent="0.35">
      <c r="A576" s="63" t="s">
        <v>155</v>
      </c>
      <c r="B576" s="55"/>
      <c r="C576" s="55"/>
      <c r="D576" s="55"/>
      <c r="E576" s="55"/>
      <c r="F576" s="64"/>
      <c r="G576" s="41"/>
      <c r="H576" s="64"/>
      <c r="I576" s="36"/>
    </row>
    <row r="577" spans="1:21" ht="22.15" customHeight="1" x14ac:dyDescent="0.35">
      <c r="A577" s="350" t="s">
        <v>4</v>
      </c>
      <c r="B577" s="351"/>
      <c r="C577" s="351"/>
      <c r="D577" s="351"/>
      <c r="E577" s="352"/>
      <c r="F577" s="152">
        <v>2026</v>
      </c>
      <c r="G577" s="41"/>
      <c r="H577" s="152">
        <v>2025</v>
      </c>
      <c r="I577" s="36"/>
    </row>
    <row r="578" spans="1:21" ht="22.15" customHeight="1" x14ac:dyDescent="0.35">
      <c r="A578" s="264" t="s">
        <v>523</v>
      </c>
      <c r="B578" s="265"/>
      <c r="C578" s="265"/>
      <c r="D578" s="265"/>
      <c r="E578" s="266"/>
      <c r="F578" s="42">
        <v>115231.35</v>
      </c>
      <c r="G578" s="43"/>
      <c r="H578" s="42">
        <v>227400.51</v>
      </c>
      <c r="I578" s="36"/>
    </row>
    <row r="579" spans="1:21" ht="22.15" customHeight="1" x14ac:dyDescent="0.35">
      <c r="A579" s="258" t="s">
        <v>96</v>
      </c>
      <c r="B579" s="259"/>
      <c r="C579" s="259"/>
      <c r="D579" s="259"/>
      <c r="E579" s="260"/>
      <c r="F579" s="40">
        <f>SUM(F578)</f>
        <v>115231.35</v>
      </c>
      <c r="G579" s="43"/>
      <c r="H579" s="40">
        <f>SUM(H578)</f>
        <v>227400.51</v>
      </c>
      <c r="I579" s="36"/>
      <c r="J579" s="82"/>
    </row>
    <row r="580" spans="1:21" ht="22.15" customHeight="1" x14ac:dyDescent="0.35">
      <c r="A580" s="55"/>
      <c r="B580" s="55"/>
      <c r="C580" s="55"/>
      <c r="D580" s="55"/>
      <c r="E580" s="55"/>
      <c r="F580" s="64"/>
      <c r="G580" s="41"/>
      <c r="H580" s="64"/>
      <c r="I580" s="36"/>
      <c r="J580" s="82"/>
    </row>
    <row r="581" spans="1:21" ht="22.15" customHeight="1" x14ac:dyDescent="0.35">
      <c r="A581" s="36"/>
      <c r="B581" s="38"/>
      <c r="C581" s="38"/>
      <c r="D581" s="38"/>
      <c r="E581" s="38"/>
      <c r="F581" s="62"/>
      <c r="G581" s="37"/>
      <c r="H581" s="62"/>
      <c r="I581" s="36"/>
      <c r="J581" s="82"/>
    </row>
    <row r="582" spans="1:21" ht="22.15" customHeight="1" x14ac:dyDescent="0.35">
      <c r="A582" s="36"/>
      <c r="B582" s="38"/>
      <c r="C582" s="38"/>
      <c r="D582" s="38"/>
      <c r="E582" s="38"/>
      <c r="F582" s="62"/>
      <c r="G582" s="37"/>
      <c r="H582" s="62"/>
      <c r="I582" s="36"/>
    </row>
    <row r="583" spans="1:21" ht="22.15" customHeight="1" x14ac:dyDescent="0.35">
      <c r="A583" s="36"/>
      <c r="B583" s="38"/>
      <c r="C583" s="38"/>
      <c r="D583" s="38"/>
      <c r="E583" s="38"/>
      <c r="F583" s="62"/>
      <c r="G583" s="37"/>
      <c r="H583" s="62"/>
      <c r="I583" s="36"/>
      <c r="J583" s="82"/>
    </row>
    <row r="584" spans="1:21" ht="22.15" customHeight="1" x14ac:dyDescent="0.35">
      <c r="A584" s="38" t="s">
        <v>94</v>
      </c>
      <c r="B584" s="55" t="s">
        <v>349</v>
      </c>
      <c r="C584" s="55"/>
      <c r="D584" s="55"/>
      <c r="E584" s="55"/>
      <c r="F584" s="64"/>
      <c r="G584" s="41"/>
      <c r="H584" s="64"/>
      <c r="I584" s="36"/>
      <c r="J584" s="82"/>
    </row>
    <row r="585" spans="1:21" s="53" customFormat="1" ht="22.15" customHeight="1" x14ac:dyDescent="0.35">
      <c r="A585" s="38"/>
      <c r="B585" s="55"/>
      <c r="C585" s="55"/>
      <c r="D585" s="55"/>
      <c r="E585" s="55"/>
      <c r="F585" s="64"/>
      <c r="G585" s="41"/>
      <c r="H585" s="64"/>
      <c r="I585" s="38"/>
      <c r="J585" s="83"/>
    </row>
    <row r="586" spans="1:21" ht="22.15" customHeight="1" x14ac:dyDescent="0.35">
      <c r="A586" s="63" t="s">
        <v>474</v>
      </c>
      <c r="B586" s="55"/>
      <c r="C586" s="55"/>
      <c r="D586" s="55"/>
      <c r="E586" s="55"/>
      <c r="F586" s="64"/>
      <c r="G586" s="41"/>
      <c r="H586" s="64"/>
      <c r="I586" s="36"/>
      <c r="J586" s="82"/>
    </row>
    <row r="587" spans="1:21" ht="22.15" customHeight="1" x14ac:dyDescent="0.35">
      <c r="A587" s="36" t="s">
        <v>155</v>
      </c>
      <c r="B587" s="38"/>
      <c r="C587" s="38"/>
      <c r="D587" s="38"/>
      <c r="E587" s="38"/>
      <c r="F587" s="62"/>
      <c r="G587" s="37"/>
      <c r="H587" s="62"/>
      <c r="I587" s="36"/>
      <c r="J587" s="82"/>
    </row>
    <row r="588" spans="1:21" ht="22.15" customHeight="1" x14ac:dyDescent="0.35">
      <c r="A588" s="350" t="s">
        <v>4</v>
      </c>
      <c r="B588" s="351"/>
      <c r="C588" s="351"/>
      <c r="D588" s="351"/>
      <c r="E588" s="352"/>
      <c r="F588" s="152">
        <v>2026</v>
      </c>
      <c r="G588" s="41"/>
      <c r="H588" s="152">
        <v>2025</v>
      </c>
      <c r="I588" s="36"/>
      <c r="J588" s="82"/>
    </row>
    <row r="589" spans="1:21" ht="22.15" customHeight="1" x14ac:dyDescent="0.35">
      <c r="A589" s="264" t="s">
        <v>154</v>
      </c>
      <c r="B589" s="265"/>
      <c r="C589" s="265"/>
      <c r="D589" s="265"/>
      <c r="E589" s="266"/>
      <c r="F589" s="42">
        <v>22417.11</v>
      </c>
      <c r="G589" s="43"/>
      <c r="H589" s="42">
        <v>8823.48</v>
      </c>
      <c r="I589" s="36"/>
      <c r="J589" s="82"/>
    </row>
    <row r="590" spans="1:21" ht="22.15" customHeight="1" x14ac:dyDescent="0.35">
      <c r="A590" s="258" t="s">
        <v>350</v>
      </c>
      <c r="B590" s="259"/>
      <c r="C590" s="259"/>
      <c r="D590" s="259"/>
      <c r="E590" s="260"/>
      <c r="F590" s="40">
        <f>SUM(F589:F589)</f>
        <v>22417.11</v>
      </c>
      <c r="G590" s="41"/>
      <c r="H590" s="40">
        <f>SUM(H589:H589)</f>
        <v>8823.48</v>
      </c>
      <c r="I590" s="36"/>
      <c r="J590" s="82"/>
      <c r="T590" s="322">
        <f>+F590+F579+F567+F540+F529+F504+F482</f>
        <v>144296490.56</v>
      </c>
      <c r="U590" s="322">
        <f>+H590+H579+H567+H540+H529+H504+H482</f>
        <v>136013102.94</v>
      </c>
    </row>
    <row r="591" spans="1:21" ht="22.15" customHeight="1" x14ac:dyDescent="0.35">
      <c r="A591" s="55"/>
      <c r="B591" s="55"/>
      <c r="C591" s="55"/>
      <c r="D591" s="55"/>
      <c r="E591" s="55"/>
      <c r="F591" s="64"/>
      <c r="G591" s="41"/>
      <c r="H591" s="64"/>
      <c r="I591" s="36"/>
      <c r="J591" s="82"/>
      <c r="T591" s="322">
        <v>144296490.56</v>
      </c>
      <c r="U591" s="320">
        <v>136013102.94</v>
      </c>
    </row>
    <row r="592" spans="1:21" ht="22.15" customHeight="1" x14ac:dyDescent="0.35">
      <c r="A592" s="38"/>
      <c r="B592" s="55"/>
      <c r="C592" s="55"/>
      <c r="D592" s="55"/>
      <c r="E592" s="55"/>
      <c r="F592" s="64"/>
      <c r="G592" s="41"/>
      <c r="H592" s="64"/>
      <c r="I592" s="36"/>
      <c r="J592" s="82"/>
      <c r="T592" s="321">
        <f>+T590-T591</f>
        <v>0</v>
      </c>
      <c r="U592" s="195">
        <f>+U590-U591</f>
        <v>0</v>
      </c>
    </row>
    <row r="593" spans="1:20" ht="22.15" customHeight="1" x14ac:dyDescent="0.35">
      <c r="A593" s="38" t="s">
        <v>505</v>
      </c>
      <c r="B593" s="55"/>
      <c r="D593" s="55"/>
      <c r="E593" s="55"/>
      <c r="F593" s="64"/>
      <c r="G593" s="41"/>
      <c r="H593" s="64"/>
      <c r="I593" s="36"/>
      <c r="J593" s="64" t="e">
        <f>+F590+F579+F567+#REF!+F540+F529+F504+F483</f>
        <v>#REF!</v>
      </c>
      <c r="K593" s="64" t="e">
        <f>+G590+G579+G567+#REF!+G540+G529+G504+G483</f>
        <v>#REF!</v>
      </c>
      <c r="L593" s="64" t="e">
        <f>+H590+H579+H567+#REF!+H540+H529+H504+H483</f>
        <v>#REF!</v>
      </c>
    </row>
    <row r="594" spans="1:20" ht="22.15" customHeight="1" x14ac:dyDescent="0.35">
      <c r="A594" s="331">
        <v>46023</v>
      </c>
      <c r="B594" s="63"/>
      <c r="C594" s="63" t="s">
        <v>506</v>
      </c>
      <c r="D594" s="63"/>
      <c r="E594" s="63"/>
      <c r="F594" s="35">
        <v>2051.71</v>
      </c>
      <c r="H594" s="35">
        <v>0</v>
      </c>
      <c r="I594" s="36"/>
      <c r="J594" s="82"/>
      <c r="T594" s="318"/>
    </row>
    <row r="595" spans="1:20" ht="22.15" customHeight="1" x14ac:dyDescent="0.35">
      <c r="A595" s="331">
        <v>46054</v>
      </c>
      <c r="B595" s="63"/>
      <c r="C595" s="63" t="s">
        <v>507</v>
      </c>
      <c r="D595" s="63"/>
      <c r="E595" s="63"/>
      <c r="F595" s="75">
        <v>14394.05</v>
      </c>
      <c r="G595" s="64"/>
      <c r="H595" s="64">
        <v>0</v>
      </c>
      <c r="I595" s="36"/>
      <c r="J595" s="82"/>
    </row>
    <row r="596" spans="1:20" ht="22.15" customHeight="1" x14ac:dyDescent="0.35">
      <c r="A596" s="331">
        <v>46113</v>
      </c>
      <c r="B596" s="63"/>
      <c r="C596" s="63" t="s">
        <v>508</v>
      </c>
      <c r="E596" s="63" t="s">
        <v>509</v>
      </c>
      <c r="F596" s="75">
        <v>1071.48</v>
      </c>
      <c r="G596" s="41"/>
      <c r="H596" s="75">
        <v>5130.1099999999997</v>
      </c>
      <c r="I596" s="36"/>
      <c r="J596" s="82"/>
    </row>
    <row r="597" spans="1:20" ht="22.15" customHeight="1" x14ac:dyDescent="0.35">
      <c r="A597" s="331">
        <v>46143</v>
      </c>
      <c r="B597" s="63"/>
      <c r="C597" s="63" t="s">
        <v>510</v>
      </c>
      <c r="D597" s="63"/>
      <c r="E597" s="63" t="s">
        <v>511</v>
      </c>
      <c r="F597" s="75">
        <v>3456.34</v>
      </c>
      <c r="G597" s="41"/>
      <c r="H597" s="75">
        <v>3693.37</v>
      </c>
      <c r="I597" s="36"/>
      <c r="J597" s="82"/>
    </row>
    <row r="598" spans="1:20" ht="22.15" customHeight="1" x14ac:dyDescent="0.35">
      <c r="A598" s="331">
        <v>46174</v>
      </c>
      <c r="B598" s="63"/>
      <c r="C598" s="63" t="s">
        <v>512</v>
      </c>
      <c r="D598" s="63"/>
      <c r="E598" s="63"/>
      <c r="F598" s="332">
        <v>1443.53</v>
      </c>
      <c r="G598" s="41"/>
      <c r="H598" s="333">
        <v>0</v>
      </c>
      <c r="I598" s="36"/>
      <c r="J598" s="82"/>
    </row>
    <row r="599" spans="1:20" ht="22.15" customHeight="1" x14ac:dyDescent="0.35">
      <c r="A599" s="55"/>
      <c r="B599" s="55"/>
      <c r="C599" s="55"/>
      <c r="D599" s="55"/>
      <c r="E599" s="55"/>
      <c r="F599" s="64">
        <f>SUM(F594:F598)</f>
        <v>22417.109999999997</v>
      </c>
      <c r="G599" s="41"/>
      <c r="H599" s="64">
        <f>SUM(H596:H598)</f>
        <v>8823.48</v>
      </c>
      <c r="I599" s="36"/>
      <c r="J599" s="82"/>
    </row>
    <row r="600" spans="1:20" s="95" customFormat="1" x14ac:dyDescent="0.35">
      <c r="A600" s="55"/>
      <c r="B600" s="55"/>
      <c r="C600" s="55"/>
      <c r="D600" s="55"/>
      <c r="E600" s="55"/>
      <c r="F600" s="64"/>
      <c r="G600" s="41"/>
      <c r="H600" s="64"/>
    </row>
    <row r="601" spans="1:20" s="95" customFormat="1" ht="12.75" x14ac:dyDescent="0.2">
      <c r="A601" s="94"/>
      <c r="B601" s="94"/>
      <c r="C601" s="94"/>
      <c r="D601" s="141"/>
    </row>
    <row r="602" spans="1:20" s="95" customFormat="1" ht="12.75" x14ac:dyDescent="0.2">
      <c r="A602" s="346"/>
      <c r="B602" s="346"/>
      <c r="C602" s="346"/>
      <c r="D602" s="346"/>
    </row>
    <row r="603" spans="1:20" s="95" customFormat="1" ht="12.75" x14ac:dyDescent="0.2">
      <c r="A603" s="347"/>
      <c r="B603" s="347"/>
      <c r="C603" s="347"/>
      <c r="D603" s="347"/>
    </row>
    <row r="604" spans="1:20" s="95" customFormat="1" ht="12.75" x14ac:dyDescent="0.2">
      <c r="A604" s="97"/>
      <c r="B604" s="97"/>
      <c r="C604" s="97"/>
      <c r="D604" s="97"/>
    </row>
    <row r="605" spans="1:20" s="95" customFormat="1" ht="12.75" x14ac:dyDescent="0.2">
      <c r="A605" s="94"/>
      <c r="B605" s="94"/>
      <c r="C605" s="94"/>
      <c r="D605" s="94"/>
    </row>
    <row r="606" spans="1:20" s="95" customFormat="1" ht="12.75" x14ac:dyDescent="0.2">
      <c r="A606" s="346"/>
      <c r="B606" s="346"/>
      <c r="C606" s="346"/>
      <c r="D606" s="346"/>
    </row>
    <row r="607" spans="1:20" s="95" customFormat="1" ht="12.75" x14ac:dyDescent="0.2">
      <c r="A607" s="94"/>
      <c r="B607" s="94"/>
      <c r="C607" s="94"/>
      <c r="D607" s="94"/>
    </row>
    <row r="608" spans="1:20" s="95" customFormat="1" ht="12.75" x14ac:dyDescent="0.2">
      <c r="A608" s="94"/>
      <c r="B608" s="94"/>
      <c r="C608" s="94"/>
      <c r="D608" s="94"/>
    </row>
    <row r="609" spans="1:10" s="95" customFormat="1" ht="12.75" x14ac:dyDescent="0.2">
      <c r="A609" s="94"/>
      <c r="B609" s="94"/>
      <c r="C609" s="94"/>
      <c r="D609" s="94"/>
    </row>
    <row r="610" spans="1:10" s="95" customFormat="1" ht="12.75" x14ac:dyDescent="0.2">
      <c r="A610" s="94"/>
      <c r="B610" s="94"/>
      <c r="C610" s="94"/>
      <c r="D610" s="94"/>
    </row>
    <row r="611" spans="1:10" s="95" customFormat="1" ht="12.75" x14ac:dyDescent="0.2">
      <c r="A611" s="107"/>
      <c r="B611" s="108"/>
      <c r="C611" s="107"/>
      <c r="D611" s="108"/>
    </row>
    <row r="612" spans="1:10" s="95" customFormat="1" ht="12.75" x14ac:dyDescent="0.2">
      <c r="A612" s="107"/>
      <c r="B612" s="109"/>
      <c r="C612" s="107"/>
      <c r="D612" s="108"/>
    </row>
    <row r="613" spans="1:10" s="95" customFormat="1" ht="12.75" x14ac:dyDescent="0.2">
      <c r="A613" s="110"/>
      <c r="B613" s="110"/>
      <c r="C613" s="97"/>
      <c r="D613" s="97"/>
    </row>
    <row r="614" spans="1:10" s="95" customFormat="1" ht="12.75" x14ac:dyDescent="0.2">
      <c r="A614" s="110"/>
      <c r="B614" s="97"/>
      <c r="C614" s="97"/>
      <c r="D614" s="97"/>
    </row>
    <row r="615" spans="1:10" s="95" customFormat="1" ht="12.75" x14ac:dyDescent="0.2">
      <c r="A615" s="110"/>
      <c r="B615" s="97"/>
      <c r="C615" s="97"/>
      <c r="D615" s="97"/>
    </row>
    <row r="616" spans="1:10" s="95" customFormat="1" ht="12.75" x14ac:dyDescent="0.2">
      <c r="A616" s="110"/>
      <c r="B616" s="97"/>
      <c r="C616" s="97"/>
      <c r="D616" s="97"/>
    </row>
    <row r="617" spans="1:10" s="117" customFormat="1" ht="12.75" x14ac:dyDescent="0.2">
      <c r="A617" s="95"/>
      <c r="B617" s="95"/>
      <c r="C617" s="95"/>
      <c r="E617" s="95"/>
      <c r="F617" s="95"/>
      <c r="G617" s="95"/>
    </row>
    <row r="618" spans="1:10" s="267" customFormat="1" ht="12.75" x14ac:dyDescent="0.2"/>
    <row r="619" spans="1:10" ht="22.15" customHeight="1" x14ac:dyDescent="0.35">
      <c r="A619" s="55"/>
      <c r="B619" s="55"/>
      <c r="C619" s="55"/>
      <c r="D619" s="55"/>
      <c r="E619" s="55"/>
      <c r="F619" s="64"/>
      <c r="G619" s="41"/>
      <c r="H619" s="64"/>
      <c r="I619" s="36"/>
      <c r="J619" s="82"/>
    </row>
    <row r="620" spans="1:10" ht="22.15" customHeight="1" x14ac:dyDescent="0.35">
      <c r="A620" s="55"/>
      <c r="B620" s="55"/>
      <c r="C620" s="55"/>
      <c r="D620" s="55"/>
      <c r="E620" s="55"/>
      <c r="F620" s="64"/>
      <c r="G620" s="41"/>
      <c r="H620" s="64"/>
      <c r="I620" s="36"/>
      <c r="J620" s="82"/>
    </row>
    <row r="621" spans="1:10" ht="22.15" customHeight="1" x14ac:dyDescent="0.35">
      <c r="A621" s="55"/>
      <c r="B621" s="55"/>
      <c r="C621" s="55"/>
      <c r="D621" s="55"/>
      <c r="E621" s="55"/>
      <c r="F621" s="64"/>
      <c r="G621" s="41"/>
      <c r="H621" s="64"/>
      <c r="I621" s="36"/>
      <c r="J621" s="82"/>
    </row>
    <row r="622" spans="1:10" s="95" customFormat="1" ht="12.75" x14ac:dyDescent="0.2">
      <c r="A622" s="94"/>
      <c r="B622" s="94"/>
      <c r="C622" s="94"/>
      <c r="D622" s="141"/>
    </row>
    <row r="623" spans="1:10" s="95" customFormat="1" ht="12.75" x14ac:dyDescent="0.2">
      <c r="A623" s="94"/>
      <c r="B623" s="94"/>
      <c r="C623" s="94"/>
      <c r="D623" s="141"/>
    </row>
    <row r="624" spans="1:10" s="95" customFormat="1" ht="12.75" x14ac:dyDescent="0.2">
      <c r="A624" s="346"/>
      <c r="B624" s="346"/>
      <c r="C624" s="346"/>
      <c r="D624" s="346"/>
    </row>
    <row r="625" spans="1:7" s="95" customFormat="1" ht="12.75" x14ac:dyDescent="0.2">
      <c r="A625" s="347"/>
      <c r="B625" s="347"/>
      <c r="C625" s="347"/>
      <c r="D625" s="347"/>
    </row>
    <row r="626" spans="1:7" s="95" customFormat="1" ht="12.75" x14ac:dyDescent="0.2">
      <c r="A626" s="97"/>
      <c r="B626" s="97"/>
      <c r="C626" s="97"/>
      <c r="D626" s="97"/>
    </row>
    <row r="627" spans="1:7" s="95" customFormat="1" ht="12.75" x14ac:dyDescent="0.2">
      <c r="A627" s="94"/>
      <c r="B627" s="94"/>
      <c r="C627" s="94"/>
      <c r="D627" s="94"/>
    </row>
    <row r="628" spans="1:7" s="95" customFormat="1" ht="12.75" x14ac:dyDescent="0.2">
      <c r="A628" s="346"/>
      <c r="B628" s="346"/>
      <c r="C628" s="346"/>
      <c r="D628" s="346"/>
    </row>
    <row r="629" spans="1:7" s="95" customFormat="1" ht="12.75" x14ac:dyDescent="0.2">
      <c r="A629" s="94"/>
      <c r="B629" s="94"/>
      <c r="C629" s="94"/>
      <c r="D629" s="94"/>
    </row>
    <row r="630" spans="1:7" s="95" customFormat="1" ht="12.75" x14ac:dyDescent="0.2">
      <c r="A630" s="94"/>
      <c r="B630" s="94"/>
      <c r="C630" s="94"/>
      <c r="D630" s="94"/>
    </row>
    <row r="631" spans="1:7" s="95" customFormat="1" ht="12.75" x14ac:dyDescent="0.2">
      <c r="A631" s="94"/>
      <c r="B631" s="94"/>
      <c r="C631" s="94"/>
      <c r="D631" s="94"/>
    </row>
    <row r="632" spans="1:7" s="95" customFormat="1" ht="12.75" x14ac:dyDescent="0.2">
      <c r="A632" s="94"/>
      <c r="B632" s="94"/>
      <c r="C632" s="94"/>
      <c r="D632" s="94"/>
    </row>
    <row r="633" spans="1:7" s="95" customFormat="1" ht="12.75" x14ac:dyDescent="0.2">
      <c r="A633" s="107"/>
      <c r="B633" s="108"/>
      <c r="C633" s="107"/>
      <c r="D633" s="108"/>
    </row>
    <row r="634" spans="1:7" s="95" customFormat="1" ht="12.75" x14ac:dyDescent="0.2">
      <c r="A634" s="107"/>
      <c r="B634" s="109"/>
      <c r="C634" s="107"/>
      <c r="D634" s="108"/>
    </row>
    <row r="635" spans="1:7" s="95" customFormat="1" ht="12.75" x14ac:dyDescent="0.2">
      <c r="A635" s="110"/>
      <c r="B635" s="110"/>
      <c r="C635" s="97"/>
      <c r="D635" s="97"/>
    </row>
    <row r="636" spans="1:7" s="95" customFormat="1" ht="12.75" x14ac:dyDescent="0.2">
      <c r="A636" s="110"/>
      <c r="B636" s="97"/>
      <c r="C636" s="97"/>
      <c r="D636" s="97"/>
    </row>
    <row r="637" spans="1:7" s="95" customFormat="1" ht="12.75" x14ac:dyDescent="0.2">
      <c r="A637" s="110"/>
      <c r="B637" s="97"/>
      <c r="C637" s="97"/>
      <c r="D637" s="97"/>
    </row>
    <row r="638" spans="1:7" s="95" customFormat="1" ht="12.75" x14ac:dyDescent="0.2">
      <c r="A638" s="110"/>
      <c r="B638" s="97"/>
      <c r="C638" s="97"/>
      <c r="D638" s="97"/>
    </row>
    <row r="639" spans="1:7" s="117" customFormat="1" ht="12.75" x14ac:dyDescent="0.2">
      <c r="A639" s="95"/>
      <c r="B639" s="95"/>
      <c r="C639" s="95"/>
      <c r="E639" s="95"/>
      <c r="F639" s="95"/>
      <c r="G639" s="95"/>
    </row>
    <row r="640" spans="1:7" s="267" customFormat="1" ht="12.75" x14ac:dyDescent="0.2"/>
    <row r="641" spans="1:10" ht="22.15" customHeight="1" x14ac:dyDescent="0.35">
      <c r="A641" s="55"/>
      <c r="B641" s="55"/>
      <c r="C641" s="55"/>
      <c r="D641" s="55"/>
      <c r="E641" s="55"/>
      <c r="F641" s="64"/>
      <c r="G641" s="41"/>
      <c r="H641" s="64"/>
      <c r="I641" s="36"/>
      <c r="J641" s="82"/>
    </row>
    <row r="642" spans="1:10" ht="22.15" customHeight="1" x14ac:dyDescent="0.35">
      <c r="A642" s="55"/>
      <c r="B642" s="55"/>
      <c r="C642" s="55"/>
      <c r="D642" s="55"/>
      <c r="E642" s="55"/>
      <c r="F642" s="64"/>
      <c r="G642" s="41"/>
      <c r="H642" s="64"/>
      <c r="I642" s="36"/>
      <c r="J642" s="82"/>
    </row>
    <row r="643" spans="1:10" ht="22.15" customHeight="1" x14ac:dyDescent="0.35">
      <c r="A643" s="55"/>
      <c r="B643" s="55"/>
      <c r="C643" s="55"/>
      <c r="D643" s="55"/>
      <c r="E643" s="55"/>
      <c r="F643" s="64"/>
      <c r="G643" s="41"/>
      <c r="H643" s="64"/>
      <c r="I643" s="36"/>
      <c r="J643" s="82"/>
    </row>
    <row r="644" spans="1:10" s="95" customFormat="1" ht="12.75" x14ac:dyDescent="0.2">
      <c r="A644" s="94"/>
      <c r="B644" s="94"/>
      <c r="C644" s="94"/>
      <c r="D644" s="141"/>
    </row>
    <row r="645" spans="1:10" s="95" customFormat="1" ht="12.75" x14ac:dyDescent="0.2">
      <c r="A645" s="94"/>
      <c r="B645" s="94"/>
      <c r="C645" s="94"/>
      <c r="D645" s="141"/>
    </row>
    <row r="646" spans="1:10" s="95" customFormat="1" ht="12.75" x14ac:dyDescent="0.2">
      <c r="A646" s="346"/>
      <c r="B646" s="346"/>
      <c r="C646" s="346"/>
      <c r="D646" s="346"/>
    </row>
    <row r="647" spans="1:10" s="95" customFormat="1" ht="12.75" x14ac:dyDescent="0.2">
      <c r="A647" s="347"/>
      <c r="B647" s="347"/>
      <c r="C647" s="347"/>
      <c r="D647" s="347"/>
    </row>
    <row r="648" spans="1:10" s="95" customFormat="1" ht="12.75" x14ac:dyDescent="0.2">
      <c r="A648" s="97"/>
      <c r="B648" s="97"/>
      <c r="C648" s="97"/>
      <c r="D648" s="97"/>
    </row>
    <row r="649" spans="1:10" s="95" customFormat="1" ht="12.75" x14ac:dyDescent="0.2">
      <c r="A649" s="94"/>
      <c r="B649" s="94"/>
      <c r="C649" s="94"/>
      <c r="D649" s="94"/>
    </row>
    <row r="650" spans="1:10" s="95" customFormat="1" ht="12.75" x14ac:dyDescent="0.2">
      <c r="A650" s="346"/>
      <c r="B650" s="346"/>
      <c r="C650" s="346"/>
      <c r="D650" s="346"/>
    </row>
    <row r="651" spans="1:10" s="95" customFormat="1" ht="12.75" x14ac:dyDescent="0.2">
      <c r="A651" s="94"/>
      <c r="B651" s="94"/>
      <c r="C651" s="94"/>
      <c r="D651" s="94"/>
    </row>
    <row r="652" spans="1:10" s="95" customFormat="1" ht="12.75" x14ac:dyDescent="0.2">
      <c r="A652" s="94"/>
      <c r="B652" s="94"/>
      <c r="C652" s="94"/>
      <c r="D652" s="94"/>
    </row>
    <row r="653" spans="1:10" s="95" customFormat="1" ht="12.75" x14ac:dyDescent="0.2">
      <c r="A653" s="94"/>
      <c r="B653" s="94"/>
      <c r="C653" s="94"/>
      <c r="D653" s="94"/>
    </row>
    <row r="654" spans="1:10" s="95" customFormat="1" ht="12.75" x14ac:dyDescent="0.2">
      <c r="A654" s="94"/>
      <c r="B654" s="94"/>
      <c r="C654" s="94"/>
      <c r="D654" s="94"/>
    </row>
    <row r="655" spans="1:10" s="95" customFormat="1" ht="12.75" x14ac:dyDescent="0.2">
      <c r="A655" s="107"/>
      <c r="B655" s="108"/>
      <c r="C655" s="107"/>
      <c r="D655" s="108"/>
    </row>
    <row r="656" spans="1:10" s="95" customFormat="1" ht="12.75" x14ac:dyDescent="0.2">
      <c r="A656" s="107"/>
      <c r="B656" s="109"/>
      <c r="C656" s="107"/>
      <c r="D656" s="108"/>
    </row>
    <row r="657" spans="1:10" s="95" customFormat="1" ht="12.75" x14ac:dyDescent="0.2">
      <c r="A657" s="110"/>
      <c r="B657" s="110"/>
      <c r="C657" s="97"/>
      <c r="D657" s="97"/>
    </row>
    <row r="658" spans="1:10" s="95" customFormat="1" ht="12.75" x14ac:dyDescent="0.2">
      <c r="A658" s="110"/>
      <c r="B658" s="97"/>
      <c r="C658" s="97"/>
      <c r="D658" s="97"/>
    </row>
    <row r="659" spans="1:10" s="95" customFormat="1" ht="12.75" x14ac:dyDescent="0.2">
      <c r="A659" s="110"/>
      <c r="B659" s="97"/>
      <c r="C659" s="97"/>
      <c r="D659" s="97"/>
    </row>
    <row r="660" spans="1:10" s="95" customFormat="1" ht="12.75" x14ac:dyDescent="0.2">
      <c r="A660" s="110"/>
      <c r="B660" s="97"/>
      <c r="C660" s="97"/>
      <c r="D660" s="97"/>
    </row>
    <row r="661" spans="1:10" s="117" customFormat="1" ht="12.75" x14ac:dyDescent="0.2">
      <c r="A661" s="95"/>
      <c r="B661" s="95"/>
      <c r="C661" s="95"/>
      <c r="E661" s="95"/>
      <c r="F661" s="95"/>
      <c r="G661" s="95"/>
    </row>
    <row r="662" spans="1:10" s="267" customFormat="1" ht="12.75" x14ac:dyDescent="0.2"/>
    <row r="663" spans="1:10" ht="22.15" customHeight="1" x14ac:dyDescent="0.35">
      <c r="A663" s="55"/>
      <c r="B663" s="55"/>
      <c r="C663" s="55"/>
      <c r="D663" s="55"/>
      <c r="E663" s="55"/>
      <c r="F663" s="64"/>
      <c r="G663" s="41"/>
      <c r="H663" s="64"/>
      <c r="I663" s="36"/>
      <c r="J663" s="82"/>
    </row>
    <row r="664" spans="1:10" ht="22.15" customHeight="1" x14ac:dyDescent="0.35">
      <c r="A664" s="55"/>
      <c r="B664" s="55"/>
      <c r="C664" s="55"/>
      <c r="D664" s="55"/>
      <c r="E664" s="55"/>
      <c r="F664" s="64"/>
      <c r="G664" s="41"/>
      <c r="H664" s="64"/>
      <c r="I664" s="36"/>
      <c r="J664" s="82"/>
    </row>
    <row r="665" spans="1:10" ht="22.15" customHeight="1" x14ac:dyDescent="0.35">
      <c r="A665" s="55"/>
      <c r="B665" s="55"/>
      <c r="C665" s="55"/>
      <c r="D665" s="55"/>
      <c r="E665" s="55"/>
      <c r="F665" s="64"/>
      <c r="G665" s="41"/>
      <c r="H665" s="64"/>
      <c r="I665" s="36"/>
      <c r="J665" s="82"/>
    </row>
    <row r="666" spans="1:10" s="95" customFormat="1" ht="12.75" x14ac:dyDescent="0.2">
      <c r="A666" s="94"/>
      <c r="B666" s="94"/>
      <c r="C666" s="94"/>
      <c r="D666" s="141"/>
    </row>
    <row r="667" spans="1:10" s="95" customFormat="1" ht="12.75" x14ac:dyDescent="0.2">
      <c r="A667" s="94"/>
      <c r="B667" s="94"/>
      <c r="C667" s="94"/>
      <c r="D667" s="141"/>
    </row>
    <row r="668" spans="1:10" s="95" customFormat="1" ht="12.75" x14ac:dyDescent="0.2">
      <c r="A668" s="346"/>
      <c r="B668" s="346"/>
      <c r="C668" s="346"/>
      <c r="D668" s="346"/>
    </row>
    <row r="669" spans="1:10" s="95" customFormat="1" ht="12.75" x14ac:dyDescent="0.2">
      <c r="A669" s="347"/>
      <c r="B669" s="347"/>
      <c r="C669" s="347"/>
      <c r="D669" s="347"/>
    </row>
    <row r="670" spans="1:10" s="95" customFormat="1" ht="12.75" x14ac:dyDescent="0.2">
      <c r="A670" s="97"/>
      <c r="B670" s="97"/>
      <c r="C670" s="97"/>
      <c r="D670" s="97"/>
    </row>
    <row r="671" spans="1:10" s="95" customFormat="1" ht="12.75" x14ac:dyDescent="0.2">
      <c r="A671" s="94"/>
      <c r="B671" s="94"/>
      <c r="C671" s="94"/>
      <c r="D671" s="94"/>
    </row>
    <row r="672" spans="1:10" s="95" customFormat="1" ht="12.75" x14ac:dyDescent="0.2">
      <c r="A672" s="346"/>
      <c r="B672" s="346"/>
      <c r="C672" s="346"/>
      <c r="D672" s="346"/>
    </row>
    <row r="673" spans="1:10" s="95" customFormat="1" ht="12.75" x14ac:dyDescent="0.2">
      <c r="A673" s="94"/>
      <c r="B673" s="94"/>
      <c r="C673" s="94"/>
      <c r="D673" s="94"/>
    </row>
    <row r="674" spans="1:10" s="95" customFormat="1" ht="12.75" x14ac:dyDescent="0.2">
      <c r="A674" s="94"/>
      <c r="B674" s="94"/>
      <c r="C674" s="94"/>
      <c r="D674" s="94"/>
    </row>
    <row r="675" spans="1:10" s="95" customFormat="1" ht="12.75" x14ac:dyDescent="0.2">
      <c r="A675" s="94"/>
      <c r="B675" s="94"/>
      <c r="C675" s="94"/>
      <c r="D675" s="94"/>
    </row>
    <row r="676" spans="1:10" s="95" customFormat="1" ht="12.75" x14ac:dyDescent="0.2">
      <c r="A676" s="94"/>
      <c r="B676" s="94"/>
      <c r="C676" s="94"/>
      <c r="D676" s="94"/>
    </row>
    <row r="677" spans="1:10" s="95" customFormat="1" ht="12.75" x14ac:dyDescent="0.2">
      <c r="A677" s="107"/>
      <c r="B677" s="108"/>
      <c r="C677" s="107"/>
      <c r="D677" s="108"/>
    </row>
    <row r="678" spans="1:10" s="95" customFormat="1" ht="12.75" x14ac:dyDescent="0.2">
      <c r="A678" s="107"/>
      <c r="B678" s="109"/>
      <c r="C678" s="107"/>
      <c r="D678" s="108"/>
    </row>
    <row r="679" spans="1:10" s="95" customFormat="1" ht="12.75" x14ac:dyDescent="0.2">
      <c r="A679" s="110"/>
      <c r="B679" s="110"/>
      <c r="C679" s="97"/>
      <c r="D679" s="97"/>
    </row>
    <row r="680" spans="1:10" s="95" customFormat="1" ht="12.75" x14ac:dyDescent="0.2">
      <c r="A680" s="110"/>
      <c r="B680" s="97"/>
      <c r="C680" s="97"/>
      <c r="D680" s="97"/>
    </row>
    <row r="681" spans="1:10" s="95" customFormat="1" ht="12.75" x14ac:dyDescent="0.2">
      <c r="A681" s="110"/>
      <c r="B681" s="97"/>
      <c r="C681" s="97"/>
      <c r="D681" s="97"/>
    </row>
    <row r="682" spans="1:10" s="95" customFormat="1" ht="12.75" x14ac:dyDescent="0.2">
      <c r="A682" s="110"/>
      <c r="B682" s="97"/>
      <c r="C682" s="97"/>
      <c r="D682" s="97"/>
    </row>
    <row r="683" spans="1:10" s="117" customFormat="1" ht="12.75" x14ac:dyDescent="0.2">
      <c r="A683" s="95"/>
      <c r="B683" s="95"/>
      <c r="C683" s="95"/>
      <c r="E683" s="95"/>
      <c r="F683" s="95"/>
      <c r="G683" s="95"/>
    </row>
    <row r="684" spans="1:10" s="267" customFormat="1" ht="12.75" x14ac:dyDescent="0.2"/>
    <row r="685" spans="1:10" ht="22.15" customHeight="1" x14ac:dyDescent="0.35">
      <c r="A685" s="55"/>
      <c r="B685" s="55"/>
      <c r="C685" s="55"/>
      <c r="D685" s="55"/>
      <c r="E685" s="55"/>
      <c r="F685" s="64"/>
      <c r="G685" s="41"/>
      <c r="H685" s="64"/>
      <c r="I685" s="36"/>
      <c r="J685" s="82"/>
    </row>
    <row r="686" spans="1:10" ht="22.15" customHeight="1" x14ac:dyDescent="0.35">
      <c r="A686" s="55"/>
      <c r="B686" s="55"/>
      <c r="C686" s="55"/>
      <c r="D686" s="55"/>
      <c r="E686" s="55"/>
      <c r="F686" s="64"/>
      <c r="G686" s="41"/>
      <c r="H686" s="64"/>
      <c r="I686" s="36"/>
      <c r="J686" s="82"/>
    </row>
    <row r="687" spans="1:10" ht="22.15" customHeight="1" x14ac:dyDescent="0.35">
      <c r="A687" s="55"/>
      <c r="B687" s="55"/>
      <c r="C687" s="55"/>
      <c r="D687" s="55"/>
      <c r="E687" s="55"/>
      <c r="F687" s="64"/>
      <c r="G687" s="41"/>
      <c r="H687" s="64"/>
      <c r="I687" s="36"/>
      <c r="J687" s="82"/>
    </row>
    <row r="688" spans="1:10" s="95" customFormat="1" ht="12.75" x14ac:dyDescent="0.2">
      <c r="A688" s="94"/>
      <c r="B688" s="94"/>
      <c r="C688" s="94"/>
      <c r="D688" s="141"/>
    </row>
    <row r="689" spans="1:4" s="95" customFormat="1" ht="12.75" x14ac:dyDescent="0.2">
      <c r="A689" s="94"/>
      <c r="B689" s="94"/>
      <c r="C689" s="94"/>
      <c r="D689" s="141"/>
    </row>
    <row r="690" spans="1:4" s="95" customFormat="1" ht="12.75" x14ac:dyDescent="0.2">
      <c r="A690" s="346"/>
      <c r="B690" s="346"/>
      <c r="C690" s="346"/>
      <c r="D690" s="346"/>
    </row>
    <row r="691" spans="1:4" s="95" customFormat="1" ht="12.75" x14ac:dyDescent="0.2">
      <c r="A691" s="347"/>
      <c r="B691" s="347"/>
      <c r="C691" s="347"/>
      <c r="D691" s="347"/>
    </row>
    <row r="692" spans="1:4" s="95" customFormat="1" ht="12.75" x14ac:dyDescent="0.2">
      <c r="A692" s="97"/>
      <c r="B692" s="97"/>
      <c r="C692" s="97"/>
      <c r="D692" s="97"/>
    </row>
    <row r="693" spans="1:4" s="95" customFormat="1" ht="12.75" x14ac:dyDescent="0.2">
      <c r="A693" s="94"/>
      <c r="B693" s="94"/>
      <c r="C693" s="94"/>
      <c r="D693" s="94"/>
    </row>
    <row r="694" spans="1:4" s="95" customFormat="1" ht="12.75" x14ac:dyDescent="0.2">
      <c r="A694" s="346"/>
      <c r="B694" s="346"/>
      <c r="C694" s="346"/>
      <c r="D694" s="346"/>
    </row>
    <row r="695" spans="1:4" s="95" customFormat="1" ht="12.75" x14ac:dyDescent="0.2">
      <c r="A695" s="94"/>
      <c r="B695" s="94"/>
      <c r="C695" s="94"/>
      <c r="D695" s="94"/>
    </row>
    <row r="696" spans="1:4" s="95" customFormat="1" ht="12.75" x14ac:dyDescent="0.2">
      <c r="A696" s="94"/>
      <c r="B696" s="94"/>
      <c r="C696" s="94"/>
      <c r="D696" s="94"/>
    </row>
    <row r="697" spans="1:4" s="95" customFormat="1" ht="12.75" x14ac:dyDescent="0.2">
      <c r="A697" s="94"/>
      <c r="B697" s="94"/>
      <c r="C697" s="94"/>
      <c r="D697" s="94"/>
    </row>
    <row r="698" spans="1:4" s="95" customFormat="1" ht="12.75" x14ac:dyDescent="0.2">
      <c r="A698" s="94"/>
      <c r="B698" s="94"/>
      <c r="C698" s="94"/>
      <c r="D698" s="94"/>
    </row>
    <row r="699" spans="1:4" s="95" customFormat="1" ht="12.75" x14ac:dyDescent="0.2">
      <c r="A699" s="107"/>
      <c r="B699" s="108"/>
      <c r="C699" s="107"/>
      <c r="D699" s="108"/>
    </row>
    <row r="700" spans="1:4" s="95" customFormat="1" ht="12.75" x14ac:dyDescent="0.2">
      <c r="A700" s="107"/>
      <c r="B700" s="109"/>
      <c r="C700" s="107"/>
      <c r="D700" s="108"/>
    </row>
    <row r="701" spans="1:4" s="95" customFormat="1" ht="12.75" x14ac:dyDescent="0.2">
      <c r="A701" s="110"/>
      <c r="B701" s="110"/>
      <c r="C701" s="97"/>
      <c r="D701" s="97"/>
    </row>
    <row r="702" spans="1:4" s="95" customFormat="1" ht="12.75" x14ac:dyDescent="0.2">
      <c r="A702" s="110"/>
      <c r="B702" s="97"/>
      <c r="C702" s="97"/>
      <c r="D702" s="97"/>
    </row>
    <row r="703" spans="1:4" s="95" customFormat="1" ht="12.75" x14ac:dyDescent="0.2">
      <c r="A703" s="110"/>
      <c r="B703" s="97"/>
      <c r="C703" s="97"/>
      <c r="D703" s="97"/>
    </row>
    <row r="704" spans="1:4" s="95" customFormat="1" ht="12.75" x14ac:dyDescent="0.2">
      <c r="A704" s="110"/>
      <c r="B704" s="97"/>
      <c r="C704" s="97"/>
      <c r="D704" s="97"/>
    </row>
    <row r="705" spans="1:10" s="117" customFormat="1" ht="12.75" x14ac:dyDescent="0.2">
      <c r="A705" s="95"/>
      <c r="B705" s="95"/>
      <c r="C705" s="95"/>
      <c r="E705" s="95"/>
      <c r="F705" s="95"/>
      <c r="G705" s="95"/>
    </row>
    <row r="706" spans="1:10" s="267" customFormat="1" ht="12.75" x14ac:dyDescent="0.2"/>
    <row r="707" spans="1:10" ht="22.15" customHeight="1" x14ac:dyDescent="0.35">
      <c r="A707" s="55"/>
      <c r="B707" s="55"/>
      <c r="C707" s="55"/>
      <c r="D707" s="55"/>
      <c r="E707" s="55"/>
      <c r="F707" s="64"/>
      <c r="G707" s="41"/>
      <c r="H707" s="64"/>
      <c r="I707" s="36"/>
      <c r="J707" s="82"/>
    </row>
    <row r="708" spans="1:10" ht="22.15" customHeight="1" x14ac:dyDescent="0.35">
      <c r="A708" s="55"/>
      <c r="B708" s="55"/>
      <c r="C708" s="55"/>
      <c r="D708" s="55"/>
      <c r="E708" s="55"/>
      <c r="F708" s="64"/>
      <c r="G708" s="41"/>
      <c r="H708" s="64"/>
      <c r="I708" s="36"/>
      <c r="J708" s="82"/>
    </row>
    <row r="709" spans="1:10" ht="22.15" customHeight="1" x14ac:dyDescent="0.35">
      <c r="A709" s="55"/>
      <c r="B709" s="55"/>
      <c r="C709" s="55"/>
      <c r="D709" s="55"/>
      <c r="E709" s="55"/>
      <c r="F709" s="64"/>
      <c r="G709" s="41"/>
      <c r="H709" s="64"/>
      <c r="I709" s="36"/>
      <c r="J709" s="82"/>
    </row>
    <row r="710" spans="1:10" s="95" customFormat="1" ht="12.75" x14ac:dyDescent="0.2">
      <c r="A710" s="94"/>
      <c r="B710" s="94"/>
      <c r="C710" s="94"/>
      <c r="D710" s="141"/>
    </row>
    <row r="711" spans="1:10" s="95" customFormat="1" ht="12.75" x14ac:dyDescent="0.2">
      <c r="A711" s="94"/>
      <c r="B711" s="94"/>
      <c r="C711" s="94"/>
      <c r="D711" s="141"/>
    </row>
    <row r="712" spans="1:10" s="95" customFormat="1" ht="12.75" x14ac:dyDescent="0.2">
      <c r="A712" s="346"/>
      <c r="B712" s="346"/>
      <c r="C712" s="346"/>
      <c r="D712" s="346"/>
    </row>
    <row r="713" spans="1:10" s="95" customFormat="1" ht="12.75" x14ac:dyDescent="0.2">
      <c r="A713" s="347"/>
      <c r="B713" s="347"/>
      <c r="C713" s="347"/>
      <c r="D713" s="347"/>
    </row>
    <row r="714" spans="1:10" s="95" customFormat="1" ht="12.75" x14ac:dyDescent="0.2">
      <c r="A714" s="97"/>
      <c r="B714" s="97"/>
      <c r="C714" s="97"/>
      <c r="D714" s="97"/>
    </row>
    <row r="715" spans="1:10" s="95" customFormat="1" ht="12.75" x14ac:dyDescent="0.2">
      <c r="A715" s="94"/>
      <c r="B715" s="94"/>
      <c r="C715" s="94"/>
      <c r="D715" s="94"/>
    </row>
    <row r="716" spans="1:10" s="95" customFormat="1" ht="12.75" x14ac:dyDescent="0.2">
      <c r="A716" s="346"/>
      <c r="B716" s="346"/>
      <c r="C716" s="346"/>
      <c r="D716" s="346"/>
    </row>
    <row r="717" spans="1:10" s="95" customFormat="1" ht="12.75" x14ac:dyDescent="0.2">
      <c r="A717" s="94"/>
      <c r="B717" s="94"/>
      <c r="C717" s="94"/>
      <c r="D717" s="94"/>
    </row>
    <row r="718" spans="1:10" s="95" customFormat="1" ht="12.75" x14ac:dyDescent="0.2">
      <c r="A718" s="94"/>
      <c r="B718" s="94"/>
      <c r="C718" s="94"/>
      <c r="D718" s="94"/>
    </row>
    <row r="719" spans="1:10" s="95" customFormat="1" ht="12.75" x14ac:dyDescent="0.2">
      <c r="A719" s="94"/>
      <c r="B719" s="94"/>
      <c r="C719" s="94"/>
      <c r="D719" s="94"/>
    </row>
    <row r="720" spans="1:10" s="95" customFormat="1" ht="12.75" x14ac:dyDescent="0.2">
      <c r="A720" s="94"/>
      <c r="B720" s="94"/>
      <c r="C720" s="94"/>
      <c r="D720" s="94"/>
    </row>
    <row r="721" spans="1:10" s="95" customFormat="1" ht="12.75" x14ac:dyDescent="0.2">
      <c r="A721" s="107"/>
      <c r="B721" s="108"/>
      <c r="C721" s="107"/>
      <c r="D721" s="108"/>
    </row>
    <row r="722" spans="1:10" s="95" customFormat="1" ht="12.75" x14ac:dyDescent="0.2">
      <c r="A722" s="107"/>
      <c r="B722" s="109"/>
      <c r="C722" s="107"/>
      <c r="D722" s="108"/>
    </row>
    <row r="723" spans="1:10" s="95" customFormat="1" ht="12.75" x14ac:dyDescent="0.2">
      <c r="A723" s="110"/>
      <c r="B723" s="110"/>
      <c r="C723" s="97"/>
      <c r="D723" s="97"/>
    </row>
    <row r="724" spans="1:10" s="95" customFormat="1" ht="12.75" x14ac:dyDescent="0.2">
      <c r="A724" s="110"/>
      <c r="B724" s="97"/>
      <c r="C724" s="97"/>
      <c r="D724" s="97"/>
    </row>
    <row r="725" spans="1:10" s="95" customFormat="1" ht="12.75" x14ac:dyDescent="0.2">
      <c r="A725" s="110"/>
      <c r="B725" s="97"/>
      <c r="C725" s="97"/>
      <c r="D725" s="97"/>
    </row>
    <row r="726" spans="1:10" s="95" customFormat="1" ht="12.75" x14ac:dyDescent="0.2">
      <c r="A726" s="110"/>
      <c r="B726" s="97"/>
      <c r="C726" s="97"/>
      <c r="D726" s="97"/>
    </row>
    <row r="727" spans="1:10" s="117" customFormat="1" ht="12.75" x14ac:dyDescent="0.2">
      <c r="A727" s="95"/>
      <c r="B727" s="95"/>
      <c r="C727" s="95"/>
      <c r="E727" s="95"/>
      <c r="F727" s="95"/>
      <c r="G727" s="95"/>
    </row>
    <row r="728" spans="1:10" s="267" customFormat="1" ht="12.75" x14ac:dyDescent="0.2"/>
    <row r="729" spans="1:10" ht="22.15" customHeight="1" x14ac:dyDescent="0.35">
      <c r="A729" s="55"/>
      <c r="B729" s="55"/>
      <c r="C729" s="55"/>
      <c r="D729" s="55"/>
      <c r="E729" s="55"/>
      <c r="F729" s="64"/>
      <c r="G729" s="41"/>
      <c r="H729" s="64"/>
      <c r="I729" s="36"/>
      <c r="J729" s="82"/>
    </row>
    <row r="730" spans="1:10" ht="22.15" customHeight="1" x14ac:dyDescent="0.35">
      <c r="A730" s="55"/>
      <c r="B730" s="55"/>
      <c r="C730" s="55"/>
      <c r="D730" s="55"/>
      <c r="E730" s="55"/>
      <c r="F730" s="64"/>
      <c r="G730" s="41"/>
      <c r="H730" s="64"/>
      <c r="I730" s="36"/>
      <c r="J730" s="82"/>
    </row>
    <row r="731" spans="1:10" ht="22.15" customHeight="1" x14ac:dyDescent="0.35">
      <c r="A731" s="55"/>
      <c r="B731" s="55"/>
      <c r="C731" s="55"/>
      <c r="D731" s="55"/>
      <c r="E731" s="55"/>
      <c r="F731" s="64"/>
      <c r="G731" s="41"/>
      <c r="H731" s="64"/>
      <c r="I731" s="36"/>
      <c r="J731" s="82"/>
    </row>
    <row r="732" spans="1:10" ht="22.15" customHeight="1" x14ac:dyDescent="0.35">
      <c r="A732" s="63"/>
      <c r="B732" s="63"/>
      <c r="C732" s="63"/>
      <c r="D732" s="63"/>
      <c r="E732" s="63"/>
      <c r="F732" s="75"/>
      <c r="G732" s="43"/>
      <c r="H732" s="75"/>
      <c r="I732" s="36"/>
    </row>
    <row r="733" spans="1:10" ht="22.15" customHeight="1" x14ac:dyDescent="0.35">
      <c r="A733" s="63"/>
      <c r="B733" s="63"/>
      <c r="C733" s="63"/>
      <c r="D733" s="63"/>
      <c r="E733" s="63"/>
      <c r="F733" s="75"/>
      <c r="G733" s="43"/>
      <c r="H733" s="75"/>
    </row>
    <row r="734" spans="1:10" hidden="1" x14ac:dyDescent="0.35">
      <c r="A734" s="63"/>
      <c r="B734" s="63"/>
      <c r="C734" s="63"/>
      <c r="D734" s="63"/>
      <c r="E734" s="63"/>
      <c r="F734" s="75"/>
      <c r="G734" s="43"/>
      <c r="H734" s="75"/>
    </row>
    <row r="735" spans="1:10" hidden="1" x14ac:dyDescent="0.35">
      <c r="A735" s="63"/>
      <c r="B735" s="63"/>
      <c r="C735" s="63"/>
      <c r="D735" s="63"/>
      <c r="E735" s="63"/>
      <c r="F735" s="75"/>
      <c r="G735" s="43"/>
      <c r="H735" s="75"/>
    </row>
    <row r="736" spans="1:10" hidden="1" x14ac:dyDescent="0.35">
      <c r="A736" s="63"/>
      <c r="B736" s="63"/>
      <c r="C736" s="63"/>
      <c r="D736" s="63"/>
      <c r="E736" s="63"/>
      <c r="F736" s="75"/>
      <c r="G736" s="43"/>
      <c r="H736" s="75"/>
    </row>
    <row r="737" spans="1:8" hidden="1" x14ac:dyDescent="0.35">
      <c r="A737" s="36"/>
      <c r="B737" s="36"/>
      <c r="C737" s="36"/>
      <c r="D737" s="36"/>
      <c r="E737" s="36"/>
      <c r="G737" s="37"/>
      <c r="H737" s="37"/>
    </row>
    <row r="738" spans="1:8" hidden="1" x14ac:dyDescent="0.35"/>
    <row r="739" spans="1:8" hidden="1" x14ac:dyDescent="0.35"/>
    <row r="740" spans="1:8" hidden="1" x14ac:dyDescent="0.35"/>
    <row r="741" spans="1:8" hidden="1" x14ac:dyDescent="0.35"/>
    <row r="742" spans="1:8" hidden="1" x14ac:dyDescent="0.35"/>
    <row r="743" spans="1:8" hidden="1" x14ac:dyDescent="0.35"/>
    <row r="744" spans="1:8" hidden="1" x14ac:dyDescent="0.35"/>
    <row r="745" spans="1:8" hidden="1" x14ac:dyDescent="0.35"/>
    <row r="746" spans="1:8" hidden="1" x14ac:dyDescent="0.35"/>
    <row r="747" spans="1:8" hidden="1" x14ac:dyDescent="0.35"/>
    <row r="748" spans="1:8" hidden="1" x14ac:dyDescent="0.35"/>
    <row r="749" spans="1:8" hidden="1" x14ac:dyDescent="0.35"/>
    <row r="750" spans="1:8" hidden="1" x14ac:dyDescent="0.35"/>
    <row r="751" spans="1:8" hidden="1" x14ac:dyDescent="0.35"/>
    <row r="752" spans="1:8" hidden="1" x14ac:dyDescent="0.35"/>
    <row r="753" hidden="1" x14ac:dyDescent="0.35"/>
    <row r="754" hidden="1" x14ac:dyDescent="0.35"/>
    <row r="755" hidden="1" x14ac:dyDescent="0.35"/>
    <row r="756" hidden="1" x14ac:dyDescent="0.35"/>
    <row r="757" hidden="1" x14ac:dyDescent="0.35"/>
    <row r="758" hidden="1" x14ac:dyDescent="0.35"/>
    <row r="759" hidden="1" x14ac:dyDescent="0.35"/>
    <row r="760" hidden="1" x14ac:dyDescent="0.35"/>
    <row r="761" hidden="1" x14ac:dyDescent="0.35"/>
    <row r="762" hidden="1" x14ac:dyDescent="0.35"/>
    <row r="763" hidden="1" x14ac:dyDescent="0.35"/>
    <row r="764" hidden="1" x14ac:dyDescent="0.35"/>
    <row r="765" hidden="1" x14ac:dyDescent="0.35"/>
    <row r="766" hidden="1" x14ac:dyDescent="0.35"/>
    <row r="767" hidden="1" x14ac:dyDescent="0.35"/>
    <row r="768" hidden="1" x14ac:dyDescent="0.35"/>
    <row r="769" hidden="1" x14ac:dyDescent="0.35"/>
    <row r="770" hidden="1" x14ac:dyDescent="0.35"/>
    <row r="771" hidden="1" x14ac:dyDescent="0.35"/>
    <row r="772" hidden="1" x14ac:dyDescent="0.35"/>
    <row r="773" hidden="1" x14ac:dyDescent="0.35"/>
    <row r="774" hidden="1" x14ac:dyDescent="0.35"/>
    <row r="775" hidden="1" x14ac:dyDescent="0.35"/>
    <row r="776" hidden="1" x14ac:dyDescent="0.35"/>
    <row r="777" hidden="1" x14ac:dyDescent="0.35"/>
    <row r="778" hidden="1" x14ac:dyDescent="0.35"/>
    <row r="779" hidden="1" x14ac:dyDescent="0.35"/>
    <row r="780" hidden="1" x14ac:dyDescent="0.35"/>
    <row r="781" hidden="1" x14ac:dyDescent="0.35"/>
    <row r="782" hidden="1" x14ac:dyDescent="0.35"/>
    <row r="783" hidden="1" x14ac:dyDescent="0.35"/>
    <row r="784" hidden="1" x14ac:dyDescent="0.35"/>
    <row r="785" hidden="1" x14ac:dyDescent="0.35"/>
    <row r="786" hidden="1" x14ac:dyDescent="0.35"/>
    <row r="787" hidden="1" x14ac:dyDescent="0.35"/>
    <row r="788" hidden="1" x14ac:dyDescent="0.35"/>
    <row r="789" hidden="1" x14ac:dyDescent="0.35"/>
    <row r="790" hidden="1" x14ac:dyDescent="0.35"/>
    <row r="791" hidden="1" x14ac:dyDescent="0.35"/>
    <row r="792" hidden="1" x14ac:dyDescent="0.35"/>
    <row r="793" hidden="1" x14ac:dyDescent="0.35"/>
    <row r="794" hidden="1" x14ac:dyDescent="0.35"/>
    <row r="795" hidden="1" x14ac:dyDescent="0.35"/>
    <row r="796" hidden="1" x14ac:dyDescent="0.35"/>
    <row r="797" hidden="1" x14ac:dyDescent="0.35"/>
    <row r="798" hidden="1" x14ac:dyDescent="0.35"/>
    <row r="799" hidden="1" x14ac:dyDescent="0.35"/>
    <row r="800" hidden="1" x14ac:dyDescent="0.35"/>
    <row r="801" hidden="1" x14ac:dyDescent="0.35"/>
    <row r="802" hidden="1" x14ac:dyDescent="0.35"/>
    <row r="803" hidden="1" x14ac:dyDescent="0.35"/>
    <row r="804" hidden="1" x14ac:dyDescent="0.35"/>
    <row r="805" hidden="1" x14ac:dyDescent="0.35"/>
    <row r="806" hidden="1" x14ac:dyDescent="0.35"/>
    <row r="807" hidden="1" x14ac:dyDescent="0.35"/>
    <row r="808" hidden="1" x14ac:dyDescent="0.35"/>
    <row r="809" hidden="1" x14ac:dyDescent="0.35"/>
    <row r="810" hidden="1" x14ac:dyDescent="0.35"/>
    <row r="811" hidden="1" x14ac:dyDescent="0.35"/>
    <row r="812" hidden="1" x14ac:dyDescent="0.35"/>
    <row r="813" hidden="1" x14ac:dyDescent="0.35"/>
    <row r="814" hidden="1" x14ac:dyDescent="0.35"/>
    <row r="815" hidden="1" x14ac:dyDescent="0.35"/>
    <row r="816" hidden="1" x14ac:dyDescent="0.35"/>
    <row r="817" hidden="1" x14ac:dyDescent="0.35"/>
    <row r="818" hidden="1" x14ac:dyDescent="0.35"/>
    <row r="819" hidden="1" x14ac:dyDescent="0.35"/>
    <row r="820" hidden="1" x14ac:dyDescent="0.35"/>
    <row r="821" hidden="1" x14ac:dyDescent="0.35"/>
    <row r="822" hidden="1" x14ac:dyDescent="0.35"/>
    <row r="823" hidden="1" x14ac:dyDescent="0.35"/>
    <row r="824" hidden="1" x14ac:dyDescent="0.35"/>
    <row r="825" hidden="1" x14ac:dyDescent="0.35"/>
    <row r="826" hidden="1" x14ac:dyDescent="0.35"/>
    <row r="827" hidden="1" x14ac:dyDescent="0.35"/>
    <row r="828" hidden="1" x14ac:dyDescent="0.35"/>
    <row r="829" hidden="1" x14ac:dyDescent="0.35"/>
    <row r="830" hidden="1" x14ac:dyDescent="0.35"/>
    <row r="831" hidden="1" x14ac:dyDescent="0.35"/>
    <row r="832" hidden="1" x14ac:dyDescent="0.35"/>
    <row r="833" hidden="1" x14ac:dyDescent="0.35"/>
    <row r="834" hidden="1" x14ac:dyDescent="0.35"/>
    <row r="835" hidden="1" x14ac:dyDescent="0.35"/>
    <row r="836" hidden="1" x14ac:dyDescent="0.35"/>
    <row r="837" hidden="1" x14ac:dyDescent="0.35"/>
    <row r="838" hidden="1" x14ac:dyDescent="0.35"/>
    <row r="839" hidden="1" x14ac:dyDescent="0.35"/>
    <row r="840" hidden="1" x14ac:dyDescent="0.35"/>
    <row r="841" hidden="1" x14ac:dyDescent="0.35"/>
    <row r="842" hidden="1" x14ac:dyDescent="0.35"/>
    <row r="843" hidden="1" x14ac:dyDescent="0.35"/>
    <row r="844" hidden="1" x14ac:dyDescent="0.35"/>
    <row r="845" hidden="1" x14ac:dyDescent="0.35"/>
    <row r="846" hidden="1" x14ac:dyDescent="0.35"/>
    <row r="847" hidden="1" x14ac:dyDescent="0.35"/>
  </sheetData>
  <mergeCells count="66">
    <mergeCell ref="A316:E316"/>
    <mergeCell ref="A296:E296"/>
    <mergeCell ref="A299:E299"/>
    <mergeCell ref="A300:E300"/>
    <mergeCell ref="A153:E153"/>
    <mergeCell ref="A133:E133"/>
    <mergeCell ref="A135:E135"/>
    <mergeCell ref="A142:E142"/>
    <mergeCell ref="A137:E137"/>
    <mergeCell ref="A150:H150"/>
    <mergeCell ref="A143:E143"/>
    <mergeCell ref="A356:E356"/>
    <mergeCell ref="A401:E401"/>
    <mergeCell ref="A370:E370"/>
    <mergeCell ref="A367:H367"/>
    <mergeCell ref="A279:E279"/>
    <mergeCell ref="A280:E280"/>
    <mergeCell ref="A287:E287"/>
    <mergeCell ref="A290:E290"/>
    <mergeCell ref="A284:E284"/>
    <mergeCell ref="A348:E348"/>
    <mergeCell ref="A340:E340"/>
    <mergeCell ref="A344:E344"/>
    <mergeCell ref="A345:E345"/>
    <mergeCell ref="A303:E303"/>
    <mergeCell ref="A294:E294"/>
    <mergeCell ref="A295:E295"/>
    <mergeCell ref="A12:F12"/>
    <mergeCell ref="A29:C29"/>
    <mergeCell ref="A18:H18"/>
    <mergeCell ref="A588:E588"/>
    <mergeCell ref="A577:E577"/>
    <mergeCell ref="A459:E459"/>
    <mergeCell ref="A499:E499"/>
    <mergeCell ref="A548:E548"/>
    <mergeCell ref="A516:E516"/>
    <mergeCell ref="A537:E537"/>
    <mergeCell ref="A414:E414"/>
    <mergeCell ref="A429:E429"/>
    <mergeCell ref="A442:E442"/>
    <mergeCell ref="A388:E388"/>
    <mergeCell ref="A267:E267"/>
    <mergeCell ref="A278:E278"/>
    <mergeCell ref="A713:D713"/>
    <mergeCell ref="A716:D716"/>
    <mergeCell ref="A669:D669"/>
    <mergeCell ref="A672:D672"/>
    <mergeCell ref="A690:D690"/>
    <mergeCell ref="A691:D691"/>
    <mergeCell ref="A694:D694"/>
    <mergeCell ref="C1:F1"/>
    <mergeCell ref="C2:F2"/>
    <mergeCell ref="C3:F3"/>
    <mergeCell ref="A286:E286"/>
    <mergeCell ref="A712:D712"/>
    <mergeCell ref="A628:D628"/>
    <mergeCell ref="A646:D646"/>
    <mergeCell ref="A647:D647"/>
    <mergeCell ref="A650:D650"/>
    <mergeCell ref="A668:D668"/>
    <mergeCell ref="A602:D602"/>
    <mergeCell ref="A603:D603"/>
    <mergeCell ref="A606:D606"/>
    <mergeCell ref="A624:D624"/>
    <mergeCell ref="A625:D625"/>
    <mergeCell ref="A10:F10"/>
  </mergeCells>
  <phoneticPr fontId="5" type="noConversion"/>
  <pageMargins left="1.1811023622047245" right="0.70866141732283472" top="1.1811023622047245" bottom="1.3779527559055118" header="0.74803149606299213" footer="0.94488188976377963"/>
  <pageSetup scale="45" fitToWidth="0" fitToHeight="0" orientation="portrait" r:id="rId1"/>
  <headerFooter>
    <oddHeader>&amp;LNotas a los Estados Financieros
Semestre enero - junio 2026 vs 2025
&amp;R&amp;G</oddHeader>
    <oddFooter>&amp;R&amp;P/&amp;N</oddFooter>
  </headerFooter>
  <rowBreaks count="11" manualBreakCount="11">
    <brk id="63" max="7" man="1"/>
    <brk id="122" max="7" man="1"/>
    <brk id="164" max="16383" man="1"/>
    <brk id="221" max="7" man="1"/>
    <brk id="271" max="7" man="1"/>
    <brk id="349" max="8" man="1"/>
    <brk id="380" max="16383" man="1"/>
    <brk id="407" max="16383" man="1"/>
    <brk id="448" max="16383" man="1"/>
    <brk id="508" max="16383" man="1"/>
    <brk id="568" max="16383" man="1"/>
  </row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H32"/>
  <sheetViews>
    <sheetView workbookViewId="0">
      <selection activeCell="C39" sqref="C39"/>
    </sheetView>
  </sheetViews>
  <sheetFormatPr baseColWidth="10" defaultColWidth="10.85546875" defaultRowHeight="15" x14ac:dyDescent="0.25"/>
  <cols>
    <col min="1" max="1" width="4.85546875" style="12" customWidth="1"/>
    <col min="2" max="2" width="26.5703125" style="12" customWidth="1"/>
    <col min="3" max="3" width="13" style="12" customWidth="1"/>
    <col min="4" max="4" width="14" style="12" customWidth="1"/>
    <col min="5" max="5" width="2.42578125" style="12" customWidth="1"/>
    <col min="6" max="7" width="12.7109375" style="12" bestFit="1" customWidth="1"/>
    <col min="8" max="16384" width="10.85546875" style="12"/>
  </cols>
  <sheetData>
    <row r="2" spans="2:8" x14ac:dyDescent="0.25">
      <c r="B2" s="379" t="s">
        <v>300</v>
      </c>
      <c r="C2" s="379"/>
      <c r="D2" s="379"/>
      <c r="E2" s="379"/>
      <c r="F2" s="379"/>
      <c r="G2" s="379"/>
      <c r="H2" s="379"/>
    </row>
    <row r="3" spans="2:8" ht="15.75" x14ac:dyDescent="0.25">
      <c r="B3" s="383" t="s">
        <v>287</v>
      </c>
      <c r="C3" s="383"/>
      <c r="D3" s="383"/>
      <c r="E3" s="383"/>
      <c r="F3" s="383"/>
      <c r="G3" s="383"/>
      <c r="H3" s="166"/>
    </row>
    <row r="4" spans="2:8" ht="15.75" x14ac:dyDescent="0.25">
      <c r="B4" s="383" t="s">
        <v>118</v>
      </c>
      <c r="C4" s="383"/>
      <c r="D4" s="383"/>
      <c r="E4" s="383"/>
      <c r="F4" s="383"/>
      <c r="G4" s="383"/>
      <c r="H4" s="166"/>
    </row>
    <row r="7" spans="2:8" x14ac:dyDescent="0.25">
      <c r="C7" s="384">
        <f>+'NOTAS '!F267</f>
        <v>2026</v>
      </c>
      <c r="D7" s="384"/>
      <c r="F7" s="384">
        <f>+'NOTAS '!H267</f>
        <v>2025</v>
      </c>
      <c r="G7" s="384"/>
    </row>
    <row r="8" spans="2:8" x14ac:dyDescent="0.25">
      <c r="B8" s="167" t="s">
        <v>288</v>
      </c>
      <c r="C8" s="168" t="s">
        <v>289</v>
      </c>
      <c r="D8" s="168" t="s">
        <v>290</v>
      </c>
      <c r="E8" s="169"/>
      <c r="F8" s="168" t="s">
        <v>289</v>
      </c>
      <c r="G8" s="168" t="s">
        <v>290</v>
      </c>
    </row>
    <row r="9" spans="2:8" x14ac:dyDescent="0.25">
      <c r="B9" s="12" t="s">
        <v>288</v>
      </c>
      <c r="C9" s="169">
        <f>+'NOTAS '!F538</f>
        <v>3570951.76</v>
      </c>
      <c r="D9" s="169"/>
      <c r="E9" s="169"/>
      <c r="F9" s="169">
        <f>+'NOTAS '!H538</f>
        <v>2954676.36</v>
      </c>
      <c r="G9" s="169"/>
    </row>
    <row r="10" spans="2:8" x14ac:dyDescent="0.25">
      <c r="B10" s="12" t="s">
        <v>288</v>
      </c>
      <c r="C10" s="169">
        <v>0</v>
      </c>
      <c r="D10" s="169"/>
      <c r="E10" s="169"/>
      <c r="F10" s="169">
        <v>0</v>
      </c>
      <c r="G10" s="169"/>
    </row>
    <row r="11" spans="2:8" x14ac:dyDescent="0.25">
      <c r="B11" s="12" t="s">
        <v>291</v>
      </c>
      <c r="C11" s="169"/>
      <c r="D11" s="169">
        <f>+C9</f>
        <v>3570951.76</v>
      </c>
      <c r="E11" s="169"/>
      <c r="F11" s="169"/>
      <c r="G11" s="169">
        <f>+F9</f>
        <v>2954676.36</v>
      </c>
    </row>
    <row r="12" spans="2:8" ht="15.75" thickBot="1" x14ac:dyDescent="0.3">
      <c r="C12" s="170">
        <f>SUM(C9:C11)</f>
        <v>3570951.76</v>
      </c>
      <c r="D12" s="170">
        <f>SUM(D11)</f>
        <v>3570951.76</v>
      </c>
      <c r="E12" s="169"/>
      <c r="F12" s="170">
        <f>SUM(F9:F11)</f>
        <v>2954676.36</v>
      </c>
      <c r="G12" s="170">
        <f>SUM(G11)</f>
        <v>2954676.36</v>
      </c>
    </row>
    <row r="13" spans="2:8" ht="15.75" thickTop="1" x14ac:dyDescent="0.25">
      <c r="C13" s="169"/>
      <c r="D13" s="169"/>
      <c r="E13" s="169"/>
      <c r="F13" s="169"/>
      <c r="G13" s="169"/>
    </row>
    <row r="14" spans="2:8" x14ac:dyDescent="0.25">
      <c r="B14" s="167" t="s">
        <v>292</v>
      </c>
      <c r="C14" s="169"/>
      <c r="D14" s="169"/>
      <c r="E14" s="169"/>
      <c r="F14" s="169"/>
      <c r="G14" s="169"/>
    </row>
    <row r="15" spans="2:8" x14ac:dyDescent="0.25">
      <c r="B15" s="12" t="s">
        <v>292</v>
      </c>
      <c r="C15" s="220">
        <f>+'NOTAS '!F539</f>
        <v>0</v>
      </c>
      <c r="D15" s="220"/>
      <c r="E15" s="169"/>
      <c r="F15" s="220">
        <f>+'NOTAS '!H539</f>
        <v>0</v>
      </c>
      <c r="G15" s="220"/>
    </row>
    <row r="16" spans="2:8" x14ac:dyDescent="0.25">
      <c r="B16" s="12" t="s">
        <v>293</v>
      </c>
      <c r="C16" s="220"/>
      <c r="D16" s="220">
        <f>+C15</f>
        <v>0</v>
      </c>
      <c r="E16" s="169"/>
      <c r="F16" s="220"/>
      <c r="G16" s="220">
        <f>+F15</f>
        <v>0</v>
      </c>
    </row>
    <row r="17" spans="2:7" x14ac:dyDescent="0.25">
      <c r="C17" s="219"/>
      <c r="D17" s="219"/>
      <c r="E17" s="169"/>
      <c r="F17" s="219"/>
      <c r="G17" s="219"/>
    </row>
    <row r="18" spans="2:7" x14ac:dyDescent="0.25">
      <c r="B18" s="167" t="s">
        <v>33</v>
      </c>
      <c r="C18" s="169"/>
      <c r="D18" s="169"/>
      <c r="E18" s="169"/>
      <c r="F18" s="169"/>
      <c r="G18" s="169"/>
    </row>
    <row r="19" spans="2:7" x14ac:dyDescent="0.25">
      <c r="B19" s="12" t="s">
        <v>291</v>
      </c>
      <c r="C19" s="169">
        <f>+'NOTAS '!E241</f>
        <v>-308322.40999999997</v>
      </c>
      <c r="D19" s="169"/>
      <c r="E19" s="169"/>
      <c r="F19" s="169">
        <f>+'NOTAS '!F258</f>
        <v>62245</v>
      </c>
      <c r="G19" s="169"/>
    </row>
    <row r="20" spans="2:7" x14ac:dyDescent="0.25">
      <c r="B20" s="12" t="s">
        <v>294</v>
      </c>
      <c r="C20" s="169">
        <v>0</v>
      </c>
      <c r="D20" s="169"/>
      <c r="E20" s="169"/>
      <c r="F20" s="169"/>
      <c r="G20" s="169"/>
    </row>
    <row r="21" spans="2:7" x14ac:dyDescent="0.25">
      <c r="B21" s="12" t="s">
        <v>295</v>
      </c>
      <c r="C21" s="169"/>
      <c r="D21" s="169">
        <f>+C19</f>
        <v>-308322.40999999997</v>
      </c>
      <c r="E21" s="169"/>
      <c r="F21" s="169"/>
      <c r="G21" s="169">
        <f>+F19</f>
        <v>62245</v>
      </c>
    </row>
    <row r="22" spans="2:7" x14ac:dyDescent="0.25">
      <c r="B22" s="12" t="s">
        <v>295</v>
      </c>
      <c r="C22" s="169"/>
      <c r="D22" s="169"/>
      <c r="E22" s="169"/>
      <c r="F22" s="169"/>
      <c r="G22" s="169"/>
    </row>
    <row r="23" spans="2:7" ht="15.75" thickBot="1" x14ac:dyDescent="0.3">
      <c r="C23" s="170">
        <f>SUM(C19:C22)</f>
        <v>-308322.40999999997</v>
      </c>
      <c r="D23" s="170">
        <f>SUM(D21:D22)</f>
        <v>-308322.40999999997</v>
      </c>
      <c r="E23" s="169"/>
      <c r="F23" s="170">
        <f>SUM(F19:F22)</f>
        <v>62245</v>
      </c>
      <c r="G23" s="170">
        <f>SUM(G21:G22)</f>
        <v>62245</v>
      </c>
    </row>
    <row r="24" spans="2:7" ht="15.75" thickTop="1" x14ac:dyDescent="0.25">
      <c r="C24" s="169"/>
      <c r="D24" s="169"/>
      <c r="E24" s="169"/>
      <c r="F24" s="169"/>
      <c r="G24" s="169"/>
    </row>
    <row r="25" spans="2:7" hidden="1" x14ac:dyDescent="0.25">
      <c r="B25" s="171" t="s">
        <v>33</v>
      </c>
      <c r="C25" s="169"/>
      <c r="D25" s="169"/>
      <c r="E25" s="169"/>
      <c r="F25" s="169"/>
      <c r="G25" s="169"/>
    </row>
    <row r="26" spans="2:7" hidden="1" x14ac:dyDescent="0.25">
      <c r="B26" s="12" t="s">
        <v>293</v>
      </c>
      <c r="C26" s="169">
        <v>2141793</v>
      </c>
      <c r="D26" s="169"/>
      <c r="E26" s="169"/>
      <c r="F26" s="169">
        <v>2300510</v>
      </c>
      <c r="G26" s="169"/>
    </row>
    <row r="27" spans="2:7" hidden="1" x14ac:dyDescent="0.25">
      <c r="B27" s="12" t="s">
        <v>294</v>
      </c>
      <c r="C27" s="169">
        <v>3335319</v>
      </c>
      <c r="D27" s="169"/>
      <c r="E27" s="169"/>
      <c r="F27" s="169">
        <v>2115664</v>
      </c>
      <c r="G27" s="169"/>
    </row>
    <row r="28" spans="2:7" hidden="1" x14ac:dyDescent="0.25">
      <c r="B28" s="12" t="s">
        <v>296</v>
      </c>
      <c r="C28" s="169"/>
      <c r="D28" s="172">
        <v>5477112</v>
      </c>
      <c r="E28" s="169"/>
      <c r="F28" s="169"/>
      <c r="G28" s="169">
        <v>4416174</v>
      </c>
    </row>
    <row r="29" spans="2:7" ht="15.75" hidden="1" thickBot="1" x14ac:dyDescent="0.3">
      <c r="C29" s="170">
        <v>5477112</v>
      </c>
      <c r="D29" s="170">
        <v>5477112</v>
      </c>
      <c r="E29" s="169"/>
      <c r="F29" s="170">
        <v>4416174</v>
      </c>
      <c r="G29" s="170">
        <v>4416174</v>
      </c>
    </row>
    <row r="30" spans="2:7" hidden="1" x14ac:dyDescent="0.25">
      <c r="E30" s="169"/>
      <c r="F30" s="169"/>
      <c r="G30" s="169"/>
    </row>
    <row r="31" spans="2:7" hidden="1" x14ac:dyDescent="0.25">
      <c r="E31" s="169"/>
    </row>
    <row r="32" spans="2:7" x14ac:dyDescent="0.25">
      <c r="C32" s="275"/>
    </row>
  </sheetData>
  <mergeCells count="5">
    <mergeCell ref="B3:G3"/>
    <mergeCell ref="B4:G4"/>
    <mergeCell ref="C7:D7"/>
    <mergeCell ref="F7:G7"/>
    <mergeCell ref="B2:H2"/>
  </mergeCells>
  <pageMargins left="0.7" right="0.7" top="1.4" bottom="0.75" header="0.54" footer="0.3"/>
  <pageSetup scale="8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8:G35"/>
  <sheetViews>
    <sheetView workbookViewId="0">
      <selection activeCell="M5" sqref="M5"/>
    </sheetView>
  </sheetViews>
  <sheetFormatPr baseColWidth="10" defaultRowHeight="12.75" x14ac:dyDescent="0.2"/>
  <cols>
    <col min="4" max="4" width="13.28515625" bestFit="1" customWidth="1"/>
    <col min="5" max="5" width="17" bestFit="1" customWidth="1"/>
    <col min="6" max="6" width="18.5703125" customWidth="1"/>
    <col min="7" max="7" width="17" bestFit="1" customWidth="1"/>
  </cols>
  <sheetData>
    <row r="8" spans="2:7" ht="12.4" customHeight="1" x14ac:dyDescent="0.2">
      <c r="B8" s="393"/>
      <c r="C8" s="394"/>
      <c r="D8" s="401" t="s">
        <v>29</v>
      </c>
      <c r="E8" s="401" t="s">
        <v>30</v>
      </c>
      <c r="F8" s="401" t="s">
        <v>35</v>
      </c>
      <c r="G8" s="397" t="s">
        <v>31</v>
      </c>
    </row>
    <row r="9" spans="2:7" ht="25.5" customHeight="1" x14ac:dyDescent="0.2">
      <c r="B9" s="395"/>
      <c r="C9" s="396"/>
      <c r="D9" s="402"/>
      <c r="E9" s="402"/>
      <c r="F9" s="402"/>
      <c r="G9" s="398"/>
    </row>
    <row r="10" spans="2:7" x14ac:dyDescent="0.2">
      <c r="D10" s="2"/>
      <c r="E10" s="2"/>
      <c r="F10" s="2"/>
      <c r="G10" s="2"/>
    </row>
    <row r="11" spans="2:7" ht="12.4" hidden="1" customHeight="1" x14ac:dyDescent="0.2">
      <c r="B11" s="391" t="s">
        <v>36</v>
      </c>
      <c r="C11" s="391"/>
      <c r="D11" s="4"/>
      <c r="E11" s="4"/>
      <c r="F11" s="4"/>
      <c r="G11" s="4"/>
    </row>
    <row r="12" spans="2:7" ht="28.9" customHeight="1" x14ac:dyDescent="0.2">
      <c r="B12" s="391"/>
      <c r="C12" s="391"/>
      <c r="D12" s="5">
        <v>34123.97</v>
      </c>
      <c r="E12" s="5">
        <v>40730750.799999997</v>
      </c>
      <c r="F12" s="5">
        <v>14368519.59</v>
      </c>
      <c r="G12" s="6">
        <f>+D12+E12+F12</f>
        <v>55133394.359999999</v>
      </c>
    </row>
    <row r="13" spans="2:7" ht="14.25" x14ac:dyDescent="0.2">
      <c r="B13" s="399" t="s">
        <v>32</v>
      </c>
      <c r="C13" s="400"/>
      <c r="D13" s="5">
        <v>0</v>
      </c>
      <c r="E13" s="5">
        <v>0</v>
      </c>
      <c r="F13" s="5">
        <v>0</v>
      </c>
      <c r="G13" s="5">
        <v>0</v>
      </c>
    </row>
    <row r="14" spans="2:7" ht="14.25" x14ac:dyDescent="0.2">
      <c r="B14" s="8" t="s">
        <v>33</v>
      </c>
      <c r="C14" s="9"/>
      <c r="D14" s="5">
        <v>0</v>
      </c>
      <c r="E14" s="5">
        <v>0</v>
      </c>
      <c r="F14" s="5">
        <v>0</v>
      </c>
      <c r="G14" s="5">
        <v>0</v>
      </c>
    </row>
    <row r="15" spans="2:7" ht="7.15" hidden="1" customHeight="1" x14ac:dyDescent="0.2">
      <c r="B15" s="392" t="s">
        <v>37</v>
      </c>
      <c r="C15" s="392"/>
      <c r="D15" s="5"/>
      <c r="E15" s="5"/>
      <c r="F15" s="5"/>
      <c r="G15" s="5"/>
    </row>
    <row r="16" spans="2:7" ht="25.5" customHeight="1" x14ac:dyDescent="0.2">
      <c r="B16" s="392"/>
      <c r="C16" s="392"/>
      <c r="D16" s="5">
        <v>-27886.58</v>
      </c>
      <c r="E16" s="5">
        <v>-26824717.809999999</v>
      </c>
      <c r="F16" s="5">
        <v>-10223446.789999999</v>
      </c>
      <c r="G16" s="5">
        <f>SUM(D16:F16)</f>
        <v>-37076051.179999992</v>
      </c>
    </row>
    <row r="17" spans="2:7" ht="20.65" customHeight="1" x14ac:dyDescent="0.2">
      <c r="B17" s="391" t="s">
        <v>34</v>
      </c>
      <c r="C17" s="391"/>
      <c r="D17" s="385">
        <f>+D12+D16</f>
        <v>6237.3899999999994</v>
      </c>
      <c r="E17" s="385">
        <f>+E12+E16</f>
        <v>13906032.989999998</v>
      </c>
      <c r="F17" s="385">
        <f>+F12+F16</f>
        <v>4145072.8000000007</v>
      </c>
      <c r="G17" s="385">
        <f>+G12+G16</f>
        <v>18057343.180000007</v>
      </c>
    </row>
    <row r="18" spans="2:7" ht="21" customHeight="1" x14ac:dyDescent="0.2">
      <c r="B18" s="391"/>
      <c r="C18" s="391"/>
      <c r="D18" s="386"/>
      <c r="E18" s="386"/>
      <c r="F18" s="386"/>
      <c r="G18" s="386"/>
    </row>
    <row r="19" spans="2:7" ht="15" x14ac:dyDescent="0.25">
      <c r="B19" s="403"/>
      <c r="C19" s="404"/>
      <c r="D19" s="5"/>
      <c r="E19" s="5"/>
      <c r="F19" s="5"/>
      <c r="G19" s="7"/>
    </row>
    <row r="20" spans="2:7" ht="14.25" x14ac:dyDescent="0.2">
      <c r="B20" s="4" t="s">
        <v>38</v>
      </c>
      <c r="C20" s="4"/>
      <c r="D20" s="5">
        <f>+D12</f>
        <v>34123.97</v>
      </c>
      <c r="E20" s="5">
        <f>40680206.41+87941.48</f>
        <v>40768147.889999993</v>
      </c>
      <c r="F20" s="5">
        <v>14368519.59</v>
      </c>
      <c r="G20" s="5">
        <f>+D20+E20+F20</f>
        <v>55170791.449999988</v>
      </c>
    </row>
    <row r="21" spans="2:7" x14ac:dyDescent="0.2">
      <c r="B21" s="392" t="s">
        <v>37</v>
      </c>
      <c r="C21" s="392"/>
      <c r="D21" s="387">
        <v>-27993.33</v>
      </c>
      <c r="E21" s="387">
        <f>-27118990.92</f>
        <v>-27118990.920000002</v>
      </c>
      <c r="F21" s="387">
        <v>-10395322.83</v>
      </c>
      <c r="G21" s="387">
        <f>+D21+E21+F21</f>
        <v>-37542307.079999998</v>
      </c>
    </row>
    <row r="22" spans="2:7" x14ac:dyDescent="0.2">
      <c r="B22" s="392"/>
      <c r="C22" s="392"/>
      <c r="D22" s="388"/>
      <c r="E22" s="388"/>
      <c r="F22" s="388"/>
      <c r="G22" s="388"/>
    </row>
    <row r="23" spans="2:7" x14ac:dyDescent="0.2">
      <c r="B23" s="391" t="s">
        <v>39</v>
      </c>
      <c r="C23" s="391"/>
      <c r="D23" s="389">
        <f>+D20+D21</f>
        <v>6130.6399999999994</v>
      </c>
      <c r="E23" s="389">
        <f>+E20+E21</f>
        <v>13649156.969999991</v>
      </c>
      <c r="F23" s="389">
        <f>+F20+F21</f>
        <v>3973196.76</v>
      </c>
      <c r="G23" s="389">
        <f>+G20+G21</f>
        <v>17628484.36999999</v>
      </c>
    </row>
    <row r="24" spans="2:7" ht="13.9" customHeight="1" x14ac:dyDescent="0.2">
      <c r="B24" s="391"/>
      <c r="C24" s="391"/>
      <c r="D24" s="390"/>
      <c r="E24" s="390"/>
      <c r="F24" s="390"/>
      <c r="G24" s="390"/>
    </row>
    <row r="25" spans="2:7" x14ac:dyDescent="0.2">
      <c r="D25" s="3"/>
      <c r="E25" s="3"/>
      <c r="F25" s="3"/>
      <c r="G25" s="3"/>
    </row>
    <row r="26" spans="2:7" x14ac:dyDescent="0.2">
      <c r="D26" s="3"/>
      <c r="E26" s="3"/>
      <c r="F26" s="3"/>
      <c r="G26" s="3"/>
    </row>
    <row r="27" spans="2:7" x14ac:dyDescent="0.2">
      <c r="D27" s="3"/>
      <c r="E27" s="3"/>
      <c r="F27" s="3"/>
      <c r="G27" s="3"/>
    </row>
    <row r="28" spans="2:7" x14ac:dyDescent="0.2">
      <c r="D28" s="3"/>
      <c r="E28" s="3"/>
      <c r="F28" s="3"/>
      <c r="G28" s="3"/>
    </row>
    <row r="29" spans="2:7" x14ac:dyDescent="0.2">
      <c r="D29" s="3"/>
      <c r="E29" s="3"/>
      <c r="F29" s="3"/>
      <c r="G29" s="3"/>
    </row>
    <row r="30" spans="2:7" x14ac:dyDescent="0.2">
      <c r="D30" s="3"/>
      <c r="E30" s="3"/>
      <c r="F30" s="3"/>
      <c r="G30" s="3"/>
    </row>
    <row r="31" spans="2:7" x14ac:dyDescent="0.2">
      <c r="D31" s="3"/>
      <c r="E31" s="3"/>
      <c r="F31" s="3"/>
      <c r="G31" s="3"/>
    </row>
    <row r="32" spans="2:7" x14ac:dyDescent="0.2">
      <c r="D32" s="3"/>
      <c r="E32" s="3"/>
      <c r="F32" s="3"/>
      <c r="G32" s="3"/>
    </row>
    <row r="33" spans="4:7" x14ac:dyDescent="0.2">
      <c r="D33" s="3"/>
      <c r="E33" s="3"/>
      <c r="F33" s="3"/>
      <c r="G33" s="3"/>
    </row>
    <row r="34" spans="4:7" x14ac:dyDescent="0.2">
      <c r="D34" s="3"/>
      <c r="E34" s="3"/>
      <c r="F34" s="3"/>
      <c r="G34" s="3"/>
    </row>
    <row r="35" spans="4:7" x14ac:dyDescent="0.2">
      <c r="D35" s="3"/>
      <c r="E35" s="3"/>
      <c r="F35" s="3"/>
      <c r="G35" s="3"/>
    </row>
  </sheetData>
  <mergeCells count="24">
    <mergeCell ref="B17:C18"/>
    <mergeCell ref="B21:C22"/>
    <mergeCell ref="B23:C24"/>
    <mergeCell ref="B8:C9"/>
    <mergeCell ref="G8:G9"/>
    <mergeCell ref="B13:C13"/>
    <mergeCell ref="D17:D18"/>
    <mergeCell ref="E17:E18"/>
    <mergeCell ref="D8:D9"/>
    <mergeCell ref="E8:E9"/>
    <mergeCell ref="F8:F9"/>
    <mergeCell ref="B11:C12"/>
    <mergeCell ref="B15:C16"/>
    <mergeCell ref="B19:C19"/>
    <mergeCell ref="D21:D22"/>
    <mergeCell ref="E21:E22"/>
    <mergeCell ref="F17:F18"/>
    <mergeCell ref="G17:G18"/>
    <mergeCell ref="F21:F22"/>
    <mergeCell ref="G21:G22"/>
    <mergeCell ref="D23:D24"/>
    <mergeCell ref="E23:E24"/>
    <mergeCell ref="F23:F24"/>
    <mergeCell ref="G23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BALANCE GENERAL</vt:lpstr>
      <vt:lpstr>ESTADO DE RESULTADOS</vt:lpstr>
      <vt:lpstr>FLUJO DE EFECTIVO ACTUAL</vt:lpstr>
      <vt:lpstr>CAMBIO PATRIM.</vt:lpstr>
      <vt:lpstr>ESTADO COMP.PRESUPUESTO </vt:lpstr>
      <vt:lpstr>NOTAS </vt:lpstr>
      <vt:lpstr>REG. NO MONETARIOS</vt:lpstr>
      <vt:lpstr>CUADRO DE ACTIVOS</vt:lpstr>
      <vt:lpstr>'BALANCE GENERAL'!Área_de_impresión</vt:lpstr>
      <vt:lpstr>'ESTADO COMP.PRESUPUESTO '!Área_de_impresión</vt:lpstr>
      <vt:lpstr>'FLUJO DE EFECTIVO ACTUAL'!Área_de_impresión</vt:lpstr>
      <vt:lpstr>'NOTAS '!Área_de_impresión</vt:lpstr>
      <vt:lpstr>'NOTAS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Edita Peña</cp:lastModifiedBy>
  <cp:lastPrinted>2026-07-15T13:17:20Z</cp:lastPrinted>
  <dcterms:created xsi:type="dcterms:W3CDTF">1996-11-27T10:00:04Z</dcterms:created>
  <dcterms:modified xsi:type="dcterms:W3CDTF">2026-07-15T16:50:13Z</dcterms:modified>
</cp:coreProperties>
</file>